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0" yWindow="40" windowWidth="23380" windowHeight="13320" tabRatio="500" activeTab="0"/>
  </bookViews>
  <sheets>
    <sheet name="Instructions" sheetId="1" r:id="rId1"/>
    <sheet name="Cpx Input &amp; Models" sheetId="2" r:id="rId2"/>
    <sheet name="Test for Equilibrium" sheetId="3" r:id="rId3"/>
  </sheets>
  <definedNames/>
  <calcPr fullCalcOnLoad="1" iterate="1" iterateCount="100" iterateDelta="0.001"/>
</workbook>
</file>

<file path=xl/sharedStrings.xml><?xml version="1.0" encoding="utf-8"?>
<sst xmlns="http://schemas.openxmlformats.org/spreadsheetml/2006/main" count="373" uniqueCount="241">
  <si>
    <t>Calcualted using normative scheme from Putirka et al. (1996)</t>
  </si>
  <si>
    <t>Na(M2)</t>
  </si>
  <si>
    <t>v(cell)</t>
  </si>
  <si>
    <t>V(M1)</t>
  </si>
  <si>
    <t>M1 charge</t>
  </si>
  <si>
    <t>alpha</t>
  </si>
  <si>
    <t>K</t>
  </si>
  <si>
    <t>dV(TM1)</t>
  </si>
  <si>
    <t>Total alkalis</t>
  </si>
  <si>
    <t>Alk boundary</t>
  </si>
  <si>
    <t>Vcell</t>
  </si>
  <si>
    <t>VM1</t>
  </si>
  <si>
    <t>P(BA)</t>
  </si>
  <si>
    <t>XFE</t>
  </si>
  <si>
    <t>XMG</t>
  </si>
  <si>
    <t>XAC</t>
  </si>
  <si>
    <t>XdNA</t>
  </si>
  <si>
    <t>XdFET= XES</t>
  </si>
  <si>
    <t>XJD</t>
  </si>
  <si>
    <t>XddNA</t>
  </si>
  <si>
    <t>XdALO</t>
  </si>
  <si>
    <t>XCATS</t>
  </si>
  <si>
    <t>XCC</t>
  </si>
  <si>
    <t>XDI</t>
  </si>
  <si>
    <t>Meas</t>
  </si>
  <si>
    <t>Nimis (1995)</t>
  </si>
  <si>
    <t>M1-M2</t>
  </si>
  <si>
    <t>solv quad</t>
  </si>
  <si>
    <t>Mean</t>
  </si>
  <si>
    <t>thol</t>
  </si>
  <si>
    <t>Mildly Alk</t>
  </si>
  <si>
    <t>Irvine and Baragar</t>
  </si>
  <si>
    <t>TH</t>
  </si>
  <si>
    <t>MA</t>
  </si>
  <si>
    <t>P(TH) or</t>
  </si>
  <si>
    <t>Nimis &amp; Taylor 2000</t>
  </si>
  <si>
    <t>Index</t>
  </si>
  <si>
    <t>Tests for Equilibrium, based on Putirka (1999) models: Compare columns AS - AY to BA - BG</t>
  </si>
  <si>
    <t>See Chart: Test for Equilibrium</t>
  </si>
  <si>
    <t>b</t>
  </si>
  <si>
    <t>c</t>
  </si>
  <si>
    <t>Liquid compositons</t>
  </si>
  <si>
    <t>Cpx compositons</t>
  </si>
  <si>
    <t>Putirka et al (1996)</t>
  </si>
  <si>
    <t>TiO2</t>
  </si>
  <si>
    <t>Al2O3</t>
  </si>
  <si>
    <t>FeO</t>
  </si>
  <si>
    <t>MnO</t>
  </si>
  <si>
    <t>MgO</t>
  </si>
  <si>
    <t>CaO</t>
  </si>
  <si>
    <t>Na2O</t>
  </si>
  <si>
    <t>K2O</t>
  </si>
  <si>
    <t>Cr2O3</t>
  </si>
  <si>
    <t>P2O5</t>
  </si>
  <si>
    <r>
      <t>K</t>
    </r>
    <r>
      <rPr>
        <vertAlign val="subscript"/>
        <sz val="10"/>
        <rFont val="Verdana"/>
        <family val="0"/>
      </rPr>
      <t>D</t>
    </r>
    <r>
      <rPr>
        <sz val="10"/>
        <rFont val="Verdana"/>
        <family val="0"/>
      </rPr>
      <t>(Fe-Mg)</t>
    </r>
  </si>
  <si>
    <t>Coefficient for Fe2+/Fe3+</t>
  </si>
  <si>
    <t>One-to-one line</t>
  </si>
  <si>
    <t>2) OUTPUTS are in BLUE columns (AI - BW)</t>
  </si>
  <si>
    <t>dP(MA)</t>
  </si>
  <si>
    <t>VcCor(MA)</t>
  </si>
  <si>
    <t>DVP(MA)</t>
  </si>
  <si>
    <t>Cations on the basis of 6 oxygens</t>
  </si>
  <si>
    <t>Lindley</t>
  </si>
  <si>
    <t>Droop</t>
  </si>
  <si>
    <t>Eqn T1</t>
  </si>
  <si>
    <t>Eqn T2</t>
  </si>
  <si>
    <t>Eqn P1</t>
  </si>
  <si>
    <t>Eqn 30</t>
  </si>
  <si>
    <t>Eqn 31</t>
  </si>
  <si>
    <t>Eqn 33</t>
  </si>
  <si>
    <t>Eqn 34</t>
  </si>
  <si>
    <t xml:space="preserve">Error on </t>
  </si>
  <si>
    <t>New Nimis-form (global</t>
  </si>
  <si>
    <t>Eqn. 32d</t>
  </si>
  <si>
    <t>Eqn 35</t>
  </si>
  <si>
    <t>LEPR</t>
  </si>
  <si>
    <t xml:space="preserve">Anhydrous </t>
  </si>
  <si>
    <t>Total</t>
  </si>
  <si>
    <t>Liquid (Glass) Composition - in Weight Percent</t>
  </si>
  <si>
    <t>FeOt</t>
  </si>
  <si>
    <t>Eqn. 32c</t>
  </si>
  <si>
    <t>Eqn. 32c</t>
  </si>
  <si>
    <t>P(kbar)</t>
  </si>
  <si>
    <t>H13</t>
  </si>
  <si>
    <t>1) INPUT required in GRAY columns (G - R, and U - AD)</t>
  </si>
  <si>
    <t>Clinopyroxene Compositions - in Weight Percent</t>
  </si>
  <si>
    <t>Molecular weights</t>
  </si>
  <si>
    <t>AlO3/2</t>
  </si>
  <si>
    <t>NaO0.5</t>
  </si>
  <si>
    <t>KO0.5</t>
  </si>
  <si>
    <t>CrO3/2</t>
  </si>
  <si>
    <t>PO5/2</t>
  </si>
  <si>
    <t>total</t>
  </si>
  <si>
    <t>Mg# liq</t>
  </si>
  <si>
    <t>T(K) P-ind</t>
  </si>
  <si>
    <t>T(C ) P-ind</t>
  </si>
  <si>
    <t>T(K) P-dep</t>
  </si>
  <si>
    <t>T(C ) P-dep</t>
  </si>
  <si>
    <t>T(K)</t>
  </si>
  <si>
    <t>T(C )</t>
  </si>
  <si>
    <t>T(K) Meas/10^4</t>
  </si>
  <si>
    <t>a(cpx-En)</t>
  </si>
  <si>
    <t>KD(Fe-Mg)</t>
  </si>
  <si>
    <t>CNM</t>
  </si>
  <si>
    <t>R3+</t>
  </si>
  <si>
    <t>M1 Fe+Mg</t>
  </si>
  <si>
    <t>M2 Fe+Mg</t>
  </si>
  <si>
    <t>Fe2+ total</t>
  </si>
  <si>
    <t>a=KD-1</t>
  </si>
  <si>
    <t>x</t>
  </si>
  <si>
    <t>Fe(M2)</t>
  </si>
  <si>
    <t>Fe(M1)</t>
  </si>
  <si>
    <t>Mg(M2)</t>
  </si>
  <si>
    <t>Mg(M1)</t>
  </si>
  <si>
    <t>Be sure that in Excel Preferences, Calculations are "Iterative"</t>
  </si>
  <si>
    <t>Barometers (and thermometer) based on Cpx compositions only</t>
  </si>
  <si>
    <t>Barometers</t>
  </si>
  <si>
    <t>Thermometers</t>
  </si>
  <si>
    <t xml:space="preserve">Input T(K) for </t>
  </si>
  <si>
    <t xml:space="preserve">Input P(kbar) for </t>
  </si>
  <si>
    <t>DVT</t>
  </si>
  <si>
    <t>dP(BH)</t>
  </si>
  <si>
    <t>VcCor(BH)</t>
  </si>
  <si>
    <t>DVP(BH)</t>
  </si>
  <si>
    <t>VM1Cor(BH)</t>
  </si>
  <si>
    <t>P(BH)</t>
  </si>
  <si>
    <t>dP(TH)</t>
  </si>
  <si>
    <t>VcCor(TH)</t>
  </si>
  <si>
    <t>DVP(TH)</t>
  </si>
  <si>
    <t>VM1Cor(TH)</t>
  </si>
  <si>
    <t>Baker, R.B., and Eggler, D.H. (1987)</t>
  </si>
  <si>
    <t>Bartels, K.S., Kinzler, R.J., Grove, T.L. (1991)</t>
  </si>
  <si>
    <t>BIO</t>
  </si>
  <si>
    <t>a</t>
  </si>
  <si>
    <t>SiO2</t>
  </si>
  <si>
    <t>Observed Cpx Components</t>
  </si>
  <si>
    <t>Predicted Cpx Components (Putirka, 1999)</t>
  </si>
  <si>
    <t>VM1Cor(MA)</t>
  </si>
  <si>
    <t>H2O</t>
  </si>
  <si>
    <t>To solve the Putirka (2003) models simultaneously, set Column AG = Column AP and Column AF = Column AO</t>
  </si>
  <si>
    <t>Eqn 32a</t>
  </si>
  <si>
    <t>Cation</t>
  </si>
  <si>
    <t>Na</t>
  </si>
  <si>
    <t>Cr</t>
  </si>
  <si>
    <t>Ca</t>
  </si>
  <si>
    <t>Mg</t>
  </si>
  <si>
    <t>Mn</t>
  </si>
  <si>
    <t>Fe</t>
  </si>
  <si>
    <t>Ti</t>
  </si>
  <si>
    <t>Si</t>
  </si>
  <si>
    <t>Clinopyroxene components</t>
  </si>
  <si>
    <t>Component</t>
  </si>
  <si>
    <t xml:space="preserve">T(K ) </t>
  </si>
  <si>
    <t xml:space="preserve">P(kbar) </t>
  </si>
  <si>
    <t>Garcia et al. (1992)</t>
  </si>
  <si>
    <t>3-88</t>
  </si>
  <si>
    <t>Experiment/Sample</t>
  </si>
  <si>
    <t>Natural Sample</t>
  </si>
  <si>
    <t>Clinopyroxene thermobarometers</t>
  </si>
  <si>
    <t>Author (year)</t>
  </si>
  <si>
    <t>P(kbar)</t>
  </si>
  <si>
    <t>T (C)</t>
  </si>
  <si>
    <t>P (GPa)</t>
  </si>
  <si>
    <t>Al(IV)</t>
  </si>
  <si>
    <t>AL(VI)</t>
  </si>
  <si>
    <t>Al (total)</t>
  </si>
  <si>
    <t>Fe3+</t>
  </si>
  <si>
    <t>Jd</t>
  </si>
  <si>
    <t>CaTs</t>
  </si>
  <si>
    <t>CaTi</t>
  </si>
  <si>
    <t>CrCaTs</t>
  </si>
  <si>
    <t>DiHd (1996)</t>
  </si>
  <si>
    <t>EnFs</t>
  </si>
  <si>
    <t>DiHd (2003)</t>
  </si>
  <si>
    <t>lnK(Jd-liq)</t>
  </si>
  <si>
    <t>lnK(Jd-DiHd)</t>
  </si>
  <si>
    <t>Putirka et al (2003)</t>
  </si>
  <si>
    <t>Fe(M1)*Mg(M2)/Fe(M2)Mg(M1)</t>
  </si>
  <si>
    <t>d</t>
  </si>
  <si>
    <t>Abs</t>
  </si>
  <si>
    <t>Eqn 32b</t>
  </si>
  <si>
    <t>Nimis (1999)</t>
  </si>
  <si>
    <t>Cation Proportions</t>
  </si>
  <si>
    <t>Cation Fractions</t>
  </si>
  <si>
    <t>Mole Proportions</t>
  </si>
  <si>
    <t>Numers of oxygens</t>
  </si>
  <si>
    <t>Ca(M2)</t>
  </si>
  <si>
    <t>Gray field = input</t>
  </si>
  <si>
    <t>Blue field = output</t>
  </si>
  <si>
    <t>Experimental Compositions given  as examples</t>
  </si>
  <si>
    <t>Leave Blank</t>
  </si>
  <si>
    <t>Enter Cpx Composition Here</t>
  </si>
  <si>
    <t>Input T(K) or P(Kbar) Here</t>
  </si>
  <si>
    <t>Enter "=cell address to right" as appropriate</t>
  </si>
  <si>
    <t>Output: Calcualted Values for T and P</t>
  </si>
  <si>
    <t>P-sensitive Thermometers use Column AG as input</t>
  </si>
  <si>
    <t>T-sensitive Barometers use Column AF as input</t>
  </si>
  <si>
    <t>DiHd</t>
  </si>
  <si>
    <t>3.1a</t>
  </si>
  <si>
    <t>Equations</t>
  </si>
  <si>
    <t>Kinzler, R.J., Grove, T.L. (1992)</t>
  </si>
  <si>
    <t>H251</t>
  </si>
  <si>
    <t>H130</t>
  </si>
  <si>
    <t>H164</t>
  </si>
  <si>
    <t>H184</t>
  </si>
  <si>
    <t>H177</t>
  </si>
  <si>
    <t>H165</t>
  </si>
  <si>
    <t>H178</t>
  </si>
  <si>
    <t>H162</t>
  </si>
  <si>
    <t>H156</t>
  </si>
  <si>
    <t>H154</t>
  </si>
  <si>
    <t>H181</t>
  </si>
  <si>
    <t>H179</t>
  </si>
  <si>
    <t>H193</t>
  </si>
  <si>
    <t>H200</t>
  </si>
  <si>
    <t>Oxy</t>
  </si>
  <si>
    <t>Sum</t>
  </si>
  <si>
    <t>ORF</t>
  </si>
  <si>
    <t>Oxy renorm  factor</t>
  </si>
  <si>
    <t>Fe3+ from charge balance</t>
  </si>
  <si>
    <t>Putirka (2008) RiMG MODELS</t>
  </si>
  <si>
    <t>Putirka (2008) RiMG</t>
  </si>
  <si>
    <t>Nimis &amp; Ulmer (1999)</t>
  </si>
  <si>
    <t>Enter Liquid Composition Here (Glass orr Whole Rock, etc.)</t>
  </si>
  <si>
    <t>XHD</t>
  </si>
  <si>
    <t>XEN</t>
  </si>
  <si>
    <t>XFS</t>
  </si>
  <si>
    <t>XAC+ XJD</t>
  </si>
  <si>
    <t>V1</t>
  </si>
  <si>
    <t>V2</t>
  </si>
  <si>
    <t>V3</t>
  </si>
  <si>
    <t>V4</t>
  </si>
  <si>
    <t>Zc</t>
  </si>
  <si>
    <t>V(Cell, P,T)</t>
  </si>
  <si>
    <t>P(TH)</t>
  </si>
  <si>
    <t>P(MA)</t>
  </si>
  <si>
    <t>aCpx-En</t>
  </si>
  <si>
    <t>dT</t>
  </si>
  <si>
    <t>I=1</t>
  </si>
  <si>
    <t>DM1-O</t>
  </si>
  <si>
    <t>Experimental Values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</si>
</sst>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
    <numFmt numFmtId="170" formatCode="0.00000000"/>
    <numFmt numFmtId="171" formatCode="0.000"/>
    <numFmt numFmtId="172" formatCode="0.0"/>
    <numFmt numFmtId="173" formatCode="0.00"/>
    <numFmt numFmtId="174" formatCode="General"/>
  </numFmts>
  <fonts count="23">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b/>
      <sz val="12"/>
      <name val="Verdana"/>
      <family val="0"/>
    </font>
    <font>
      <sz val="8"/>
      <color indexed="8"/>
      <name val="Verdana"/>
      <family val="0"/>
    </font>
    <font>
      <sz val="9.2"/>
      <color indexed="8"/>
      <name val="Verdana"/>
      <family val="0"/>
    </font>
    <font>
      <vertAlign val="subscript"/>
      <sz val="10"/>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Font="1" applyFill="1" applyAlignment="1">
      <alignment/>
    </xf>
    <xf numFmtId="169" fontId="0" fillId="0" borderId="0" xfId="0" applyNumberFormat="1" applyFont="1" applyFill="1" applyAlignment="1">
      <alignment/>
    </xf>
    <xf numFmtId="0" fontId="0" fillId="0" borderId="0" xfId="0" applyFont="1" applyFill="1" applyAlignment="1">
      <alignment horizontal="center"/>
    </xf>
    <xf numFmtId="2" fontId="0" fillId="0" borderId="0" xfId="0" applyNumberFormat="1" applyFont="1" applyFill="1" applyAlignment="1">
      <alignment/>
    </xf>
    <xf numFmtId="0" fontId="0" fillId="0" borderId="0" xfId="0" applyFont="1" applyFill="1" applyBorder="1" applyAlignment="1">
      <alignment/>
    </xf>
    <xf numFmtId="0" fontId="0" fillId="0" borderId="1" xfId="0" applyFont="1" applyFill="1" applyBorder="1" applyAlignment="1">
      <alignment horizontal="center"/>
    </xf>
    <xf numFmtId="171" fontId="0" fillId="0" borderId="0" xfId="0" applyNumberFormat="1" applyFont="1" applyFill="1" applyAlignment="1">
      <alignment/>
    </xf>
    <xf numFmtId="171"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textRotation="90" wrapText="1"/>
    </xf>
    <xf numFmtId="11" fontId="0" fillId="0" borderId="0" xfId="0" applyNumberFormat="1" applyFont="1" applyFill="1" applyAlignment="1">
      <alignment horizontal="center"/>
    </xf>
    <xf numFmtId="171" fontId="0" fillId="0" borderId="0" xfId="0" applyNumberFormat="1" applyFont="1" applyFill="1" applyAlignment="1">
      <alignment horizontal="center" wrapText="1"/>
    </xf>
    <xf numFmtId="171" fontId="0" fillId="0" borderId="2" xfId="0" applyNumberFormat="1" applyFont="1" applyFill="1" applyBorder="1" applyAlignment="1">
      <alignment horizontal="center" wrapText="1"/>
    </xf>
    <xf numFmtId="1" fontId="0" fillId="0" borderId="0" xfId="0" applyNumberFormat="1" applyFont="1" applyFill="1" applyAlignment="1">
      <alignment horizontal="center" wrapText="1"/>
    </xf>
    <xf numFmtId="2" fontId="0" fillId="0" borderId="0" xfId="0" applyNumberFormat="1" applyFont="1" applyFill="1" applyAlignment="1">
      <alignment horizontal="center"/>
    </xf>
    <xf numFmtId="11" fontId="0" fillId="0" borderId="0" xfId="0" applyNumberFormat="1" applyFont="1" applyFill="1" applyAlignment="1">
      <alignment/>
    </xf>
    <xf numFmtId="1" fontId="0" fillId="0" borderId="0" xfId="0" applyNumberFormat="1" applyFont="1" applyFill="1" applyAlignment="1">
      <alignment/>
    </xf>
    <xf numFmtId="0" fontId="7" fillId="0" borderId="0" xfId="0" applyFont="1" applyAlignment="1">
      <alignment/>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3"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8" fillId="0" borderId="4" xfId="0" applyFont="1" applyFill="1" applyBorder="1" applyAlignment="1">
      <alignment/>
    </xf>
    <xf numFmtId="0" fontId="8" fillId="0" borderId="5" xfId="0" applyFont="1" applyFill="1" applyBorder="1" applyAlignment="1">
      <alignment/>
    </xf>
    <xf numFmtId="0" fontId="12" fillId="2" borderId="0" xfId="0" applyFont="1" applyFill="1" applyAlignment="1">
      <alignment horizontal="left"/>
    </xf>
    <xf numFmtId="0" fontId="11" fillId="2" borderId="0" xfId="0" applyFont="1" applyFill="1" applyAlignment="1">
      <alignment/>
    </xf>
    <xf numFmtId="0" fontId="12" fillId="2" borderId="6" xfId="0" applyFont="1" applyFill="1" applyBorder="1" applyAlignment="1">
      <alignment horizontal="center"/>
    </xf>
    <xf numFmtId="0" fontId="0" fillId="2" borderId="0" xfId="0" applyFont="1" applyFill="1" applyAlignment="1">
      <alignment/>
    </xf>
    <xf numFmtId="0" fontId="0" fillId="0" borderId="0" xfId="0" applyAlignment="1">
      <alignment horizontal="center"/>
    </xf>
    <xf numFmtId="0" fontId="0" fillId="0" borderId="6" xfId="0" applyBorder="1" applyAlignment="1">
      <alignment horizontal="center"/>
    </xf>
    <xf numFmtId="0" fontId="11" fillId="0" borderId="7"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3"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0" xfId="0" applyFont="1" applyFill="1" applyBorder="1" applyAlignment="1">
      <alignment horizontal="center"/>
    </xf>
    <xf numFmtId="0" fontId="0" fillId="3" borderId="1" xfId="0" applyFont="1" applyFill="1" applyBorder="1" applyAlignment="1">
      <alignment/>
    </xf>
    <xf numFmtId="0" fontId="0" fillId="3" borderId="1" xfId="0" applyFill="1" applyBorder="1" applyAlignment="1">
      <alignment/>
    </xf>
    <xf numFmtId="0" fontId="0" fillId="3" borderId="0" xfId="0" applyFont="1" applyFill="1" applyBorder="1" applyAlignment="1">
      <alignment/>
    </xf>
    <xf numFmtId="0" fontId="0" fillId="3" borderId="2" xfId="0" applyFont="1" applyFill="1" applyBorder="1" applyAlignment="1">
      <alignment horizontal="center"/>
    </xf>
    <xf numFmtId="0" fontId="0" fillId="3" borderId="2" xfId="0" applyFont="1" applyFill="1" applyBorder="1" applyAlignment="1">
      <alignment/>
    </xf>
    <xf numFmtId="171" fontId="0" fillId="3" borderId="2" xfId="0" applyNumberFormat="1" applyFont="1" applyFill="1" applyBorder="1" applyAlignment="1">
      <alignment horizontal="center" wrapText="1"/>
    </xf>
    <xf numFmtId="172" fontId="0" fillId="3" borderId="0" xfId="0" applyNumberFormat="1" applyFont="1" applyFill="1" applyAlignment="1">
      <alignment horizontal="center"/>
    </xf>
    <xf numFmtId="0" fontId="0" fillId="2" borderId="0" xfId="0" applyFont="1" applyFill="1" applyAlignment="1">
      <alignment horizontal="center"/>
    </xf>
    <xf numFmtId="172" fontId="0" fillId="2" borderId="0" xfId="0" applyNumberFormat="1" applyFont="1" applyFill="1" applyAlignment="1">
      <alignment horizontal="center"/>
    </xf>
    <xf numFmtId="0" fontId="0" fillId="0" borderId="8" xfId="0" applyFont="1" applyFill="1" applyBorder="1" applyAlignment="1">
      <alignment horizontal="left"/>
    </xf>
    <xf numFmtId="0" fontId="0" fillId="0" borderId="9" xfId="0" applyFont="1" applyFill="1" applyBorder="1" applyAlignment="1">
      <alignment horizontal="center"/>
    </xf>
    <xf numFmtId="0" fontId="0" fillId="0" borderId="7" xfId="0" applyFont="1" applyFill="1" applyBorder="1" applyAlignment="1">
      <alignment horizontal="left"/>
    </xf>
    <xf numFmtId="0" fontId="0" fillId="0" borderId="3" xfId="0" applyFont="1" applyFill="1" applyBorder="1" applyAlignment="1">
      <alignment horizontal="center"/>
    </xf>
    <xf numFmtId="0" fontId="11" fillId="2" borderId="6"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0" fillId="0" borderId="11"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horizontal="center"/>
    </xf>
    <xf numFmtId="0" fontId="0" fillId="0" borderId="3" xfId="0" applyBorder="1" applyAlignment="1">
      <alignment horizontal="center"/>
    </xf>
    <xf numFmtId="0" fontId="0" fillId="0" borderId="0" xfId="0" applyFill="1" applyAlignment="1">
      <alignment/>
    </xf>
    <xf numFmtId="0" fontId="0" fillId="0" borderId="1" xfId="0" applyFill="1" applyBorder="1" applyAlignment="1">
      <alignment/>
    </xf>
    <xf numFmtId="0" fontId="0" fillId="0" borderId="2" xfId="0" applyFont="1" applyFill="1" applyBorder="1" applyAlignment="1">
      <alignment/>
    </xf>
    <xf numFmtId="172" fontId="0" fillId="0" borderId="0" xfId="0" applyNumberFormat="1" applyFont="1" applyFill="1" applyAlignment="1">
      <alignment horizontal="center"/>
    </xf>
    <xf numFmtId="171" fontId="0" fillId="3" borderId="0" xfId="0" applyNumberFormat="1" applyFont="1" applyFill="1" applyAlignment="1">
      <alignment horizontal="center"/>
    </xf>
    <xf numFmtId="0" fontId="0" fillId="0" borderId="8" xfId="0" applyFont="1" applyFill="1" applyBorder="1" applyAlignment="1">
      <alignment/>
    </xf>
    <xf numFmtId="0" fontId="0" fillId="0" borderId="10" xfId="0"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3" xfId="0" applyFont="1" applyFill="1" applyBorder="1" applyAlignment="1">
      <alignment/>
    </xf>
    <xf numFmtId="0" fontId="0" fillId="0" borderId="10" xfId="0" applyBorder="1" applyAlignment="1">
      <alignment/>
    </xf>
    <xf numFmtId="0" fontId="1" fillId="0" borderId="7" xfId="0" applyFont="1" applyFill="1" applyBorder="1" applyAlignment="1">
      <alignment/>
    </xf>
    <xf numFmtId="0" fontId="1" fillId="0" borderId="6" xfId="0" applyFont="1" applyFill="1" applyBorder="1" applyAlignment="1">
      <alignment/>
    </xf>
    <xf numFmtId="169" fontId="0" fillId="0" borderId="13" xfId="0" applyNumberFormat="1" applyFont="1" applyFill="1" applyBorder="1" applyAlignment="1">
      <alignment/>
    </xf>
    <xf numFmtId="172" fontId="0" fillId="0" borderId="0" xfId="0" applyNumberFormat="1" applyFont="1" applyFill="1" applyAlignment="1">
      <alignment/>
    </xf>
    <xf numFmtId="0" fontId="0" fillId="0" borderId="0" xfId="0"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horizontal="center"/>
    </xf>
    <xf numFmtId="0" fontId="0" fillId="0" borderId="4" xfId="0" applyFont="1" applyFill="1" applyBorder="1" applyAlignment="1">
      <alignment/>
    </xf>
    <xf numFmtId="0" fontId="0" fillId="0" borderId="5" xfId="0" applyFont="1" applyFill="1" applyBorder="1" applyAlignment="1">
      <alignment/>
    </xf>
    <xf numFmtId="2" fontId="0" fillId="3" borderId="0" xfId="0" applyNumberFormat="1" applyFont="1" applyFill="1" applyAlignment="1">
      <alignment horizontal="center"/>
    </xf>
    <xf numFmtId="0" fontId="0" fillId="3" borderId="1" xfId="0" applyFont="1" applyFill="1" applyBorder="1" applyAlignment="1">
      <alignment horizontal="lef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6" xfId="0" applyBorder="1" applyAlignment="1">
      <alignment horizontal="left"/>
    </xf>
    <xf numFmtId="0" fontId="10" fillId="0" borderId="14" xfId="0" applyFont="1" applyFill="1" applyBorder="1" applyAlignment="1">
      <alignment/>
    </xf>
    <xf numFmtId="0" fontId="13" fillId="0" borderId="0" xfId="0" applyFont="1" applyFill="1" applyBorder="1" applyAlignment="1">
      <alignment horizontal="left"/>
    </xf>
    <xf numFmtId="0" fontId="0" fillId="0" borderId="0" xfId="0" applyFill="1" applyBorder="1" applyAlignment="1">
      <alignment horizontal="center"/>
    </xf>
    <xf numFmtId="0" fontId="13" fillId="0" borderId="2" xfId="0" applyFont="1" applyFill="1" applyBorder="1" applyAlignment="1">
      <alignment horizontal="left"/>
    </xf>
    <xf numFmtId="0" fontId="0" fillId="0" borderId="2" xfId="0" applyFill="1" applyBorder="1" applyAlignment="1">
      <alignment horizontal="center"/>
    </xf>
    <xf numFmtId="0" fontId="0" fillId="0" borderId="8" xfId="0" applyFill="1" applyBorder="1" applyAlignment="1">
      <alignment horizontal="center"/>
    </xf>
    <xf numFmtId="0" fontId="1" fillId="0" borderId="10" xfId="0" applyFont="1" applyFill="1" applyBorder="1" applyAlignment="1">
      <alignment horizontal="center"/>
    </xf>
    <xf numFmtId="0" fontId="0" fillId="0" borderId="9" xfId="0"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1825"/>
          <c:w val="0.94025"/>
          <c:h val="0.9295"/>
        </c:manualLayout>
      </c:layout>
      <c:scatterChart>
        <c:scatterStyle val="lineMarker"/>
        <c:varyColors val="0"/>
        <c:ser>
          <c:idx val="1"/>
          <c:order val="0"/>
          <c:tx>
            <c:v>CaTs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000000"/>
                </a:solidFill>
              </a:ln>
            </c:spPr>
          </c:marker>
          <c:xVal>
            <c:numRef>
              <c:f>'Cpx Input &amp; Models'!$AU$15:$AU$36</c:f>
              <c:numCache>
                <c:ptCount val="22"/>
                <c:pt idx="0">
                  <c:v>0.017622218445952808</c:v>
                </c:pt>
                <c:pt idx="1">
                  <c:v>0.0047897037357153855</c:v>
                </c:pt>
                <c:pt idx="2">
                  <c:v>0.004277686863823093</c:v>
                </c:pt>
                <c:pt idx="3">
                  <c:v>0.0058544823329610435</c:v>
                </c:pt>
                <c:pt idx="4">
                  <c:v>0.042239255035524094</c:v>
                </c:pt>
                <c:pt idx="5">
                  <c:v>0.03341919577620913</c:v>
                </c:pt>
                <c:pt idx="6">
                  <c:v>0.07214678386347181</c:v>
                </c:pt>
                <c:pt idx="7">
                  <c:v>0.03912547150638651</c:v>
                </c:pt>
                <c:pt idx="8">
                  <c:v>0.048997402442481665</c:v>
                </c:pt>
                <c:pt idx="9">
                  <c:v>0.041165806194473506</c:v>
                </c:pt>
                <c:pt idx="10">
                  <c:v>0.0424659843509623</c:v>
                </c:pt>
                <c:pt idx="11">
                  <c:v>0.055761421679665836</c:v>
                </c:pt>
                <c:pt idx="12">
                  <c:v>0.04341756436986553</c:v>
                </c:pt>
                <c:pt idx="13">
                  <c:v>0.06724018337619855</c:v>
                </c:pt>
                <c:pt idx="14">
                  <c:v>0.05747046473968694</c:v>
                </c:pt>
                <c:pt idx="15">
                  <c:v>0.060149295570101464</c:v>
                </c:pt>
                <c:pt idx="16">
                  <c:v>0.06228152271748285</c:v>
                </c:pt>
                <c:pt idx="17">
                  <c:v>0.05605297959351593</c:v>
                </c:pt>
                <c:pt idx="18">
                  <c:v>0.05102320153455541</c:v>
                </c:pt>
                <c:pt idx="19">
                  <c:v>0.06817856794496104</c:v>
                </c:pt>
                <c:pt idx="20">
                  <c:v>0.06401428200805395</c:v>
                </c:pt>
                <c:pt idx="21">
                  <c:v>0.07019150560884142</c:v>
                </c:pt>
              </c:numCache>
            </c:numRef>
          </c:xVal>
          <c:yVal>
            <c:numRef>
              <c:f>'Cpx Input &amp; Models'!$BC$15:$BC$36</c:f>
              <c:numCache>
                <c:ptCount val="22"/>
                <c:pt idx="0">
                  <c:v>0.00503735260359435</c:v>
                </c:pt>
                <c:pt idx="1">
                  <c:v>0</c:v>
                </c:pt>
                <c:pt idx="2">
                  <c:v>0.003982881772107663</c:v>
                </c:pt>
                <c:pt idx="3">
                  <c:v>0</c:v>
                </c:pt>
                <c:pt idx="4">
                  <c:v>0.12428306671120888</c:v>
                </c:pt>
                <c:pt idx="5">
                  <c:v>0.12886712780749945</c:v>
                </c:pt>
                <c:pt idx="6">
                  <c:v>0.2117818841014245</c:v>
                </c:pt>
                <c:pt idx="7">
                  <c:v>0.06401102900554477</c:v>
                </c:pt>
                <c:pt idx="8">
                  <c:v>0.08410451405400152</c:v>
                </c:pt>
                <c:pt idx="9">
                  <c:v>0.047256802695966466</c:v>
                </c:pt>
                <c:pt idx="10">
                  <c:v>0.06565993249036975</c:v>
                </c:pt>
                <c:pt idx="11">
                  <c:v>0.11096298764198548</c:v>
                </c:pt>
                <c:pt idx="12">
                  <c:v>0.10258425765579665</c:v>
                </c:pt>
                <c:pt idx="13">
                  <c:v>0.12860479505512185</c:v>
                </c:pt>
                <c:pt idx="14">
                  <c:v>0.11819796792644918</c:v>
                </c:pt>
                <c:pt idx="15">
                  <c:v>0.13052581772939328</c:v>
                </c:pt>
                <c:pt idx="16">
                  <c:v>0.12474113636873216</c:v>
                </c:pt>
                <c:pt idx="17">
                  <c:v>0.09567151070156554</c:v>
                </c:pt>
                <c:pt idx="18">
                  <c:v>0.1335342777071455</c:v>
                </c:pt>
                <c:pt idx="19">
                  <c:v>0.16098363773754326</c:v>
                </c:pt>
                <c:pt idx="20">
                  <c:v>0.11655633324587691</c:v>
                </c:pt>
                <c:pt idx="21">
                  <c:v>0.15189565650717263</c:v>
                </c:pt>
              </c:numCache>
            </c:numRef>
          </c:yVal>
          <c:smooth val="0"/>
        </c:ser>
        <c:ser>
          <c:idx val="2"/>
          <c:order val="1"/>
          <c:tx>
            <c:v>EnFs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noFill/>
              <a:ln>
                <a:solidFill>
                  <a:srgbClr val="000000"/>
                </a:solidFill>
              </a:ln>
            </c:spPr>
          </c:marker>
          <c:xVal>
            <c:numRef>
              <c:f>'Cpx Input &amp; Models'!$AT$15:$AT$36</c:f>
              <c:numCache>
                <c:ptCount val="22"/>
                <c:pt idx="0">
                  <c:v>0.1850663952265928</c:v>
                </c:pt>
                <c:pt idx="1">
                  <c:v>0.07868993800135655</c:v>
                </c:pt>
                <c:pt idx="2">
                  <c:v>0.08492517396589079</c:v>
                </c:pt>
                <c:pt idx="3">
                  <c:v>0.036958515853522195</c:v>
                </c:pt>
                <c:pt idx="4">
                  <c:v>0.2823911653397358</c:v>
                </c:pt>
                <c:pt idx="5">
                  <c:v>0.2305563456424322</c:v>
                </c:pt>
                <c:pt idx="6">
                  <c:v>0.4057122272922745</c:v>
                </c:pt>
                <c:pt idx="7">
                  <c:v>0.47903399217581577</c:v>
                </c:pt>
                <c:pt idx="8">
                  <c:v>0.3996268787209088</c:v>
                </c:pt>
                <c:pt idx="9">
                  <c:v>0.3521128388334722</c:v>
                </c:pt>
                <c:pt idx="10">
                  <c:v>0.35342738215935915</c:v>
                </c:pt>
                <c:pt idx="11">
                  <c:v>0.3733396644265783</c:v>
                </c:pt>
                <c:pt idx="12">
                  <c:v>0.35570550114148936</c:v>
                </c:pt>
                <c:pt idx="13">
                  <c:v>0.4553820808683673</c:v>
                </c:pt>
                <c:pt idx="14">
                  <c:v>0.49251877300860225</c:v>
                </c:pt>
                <c:pt idx="15">
                  <c:v>0.45830759946922983</c:v>
                </c:pt>
                <c:pt idx="16">
                  <c:v>0.3953952317703185</c:v>
                </c:pt>
                <c:pt idx="17">
                  <c:v>0.3802019975589971</c:v>
                </c:pt>
                <c:pt idx="18">
                  <c:v>0.40866105299532113</c:v>
                </c:pt>
                <c:pt idx="19">
                  <c:v>0.4486197202654414</c:v>
                </c:pt>
                <c:pt idx="20">
                  <c:v>0.5156031144062129</c:v>
                </c:pt>
                <c:pt idx="21">
                  <c:v>0.4628216962113205</c:v>
                </c:pt>
              </c:numCache>
            </c:numRef>
          </c:xVal>
          <c:yVal>
            <c:numRef>
              <c:f>'Cpx Input &amp; Models'!$BB$15:$BB$36</c:f>
              <c:numCache>
                <c:ptCount val="22"/>
                <c:pt idx="0">
                  <c:v>0.2569573432829225</c:v>
                </c:pt>
                <c:pt idx="1">
                  <c:v>0.17947616305060426</c:v>
                </c:pt>
                <c:pt idx="2">
                  <c:v>0.21003456749130195</c:v>
                </c:pt>
                <c:pt idx="3">
                  <c:v>0.19992833370235807</c:v>
                </c:pt>
                <c:pt idx="4">
                  <c:v>0.29591990503536936</c:v>
                </c:pt>
                <c:pt idx="5">
                  <c:v>0.23011917721742958</c:v>
                </c:pt>
                <c:pt idx="6">
                  <c:v>0.3790775153154122</c:v>
                </c:pt>
                <c:pt idx="7">
                  <c:v>0.4229899482917785</c:v>
                </c:pt>
                <c:pt idx="8">
                  <c:v>0.4201282707363917</c:v>
                </c:pt>
                <c:pt idx="9">
                  <c:v>0.4047670044467843</c:v>
                </c:pt>
                <c:pt idx="10">
                  <c:v>0.38888169208187573</c:v>
                </c:pt>
                <c:pt idx="11">
                  <c:v>0.4127400133624137</c:v>
                </c:pt>
                <c:pt idx="12">
                  <c:v>0.39965765536951975</c:v>
                </c:pt>
                <c:pt idx="13">
                  <c:v>0.4997895218675869</c:v>
                </c:pt>
                <c:pt idx="14">
                  <c:v>0.4930686982953073</c:v>
                </c:pt>
                <c:pt idx="15">
                  <c:v>0.46897485406510164</c:v>
                </c:pt>
                <c:pt idx="16">
                  <c:v>0.4617437884296315</c:v>
                </c:pt>
                <c:pt idx="17">
                  <c:v>0.45496155026025403</c:v>
                </c:pt>
                <c:pt idx="18">
                  <c:v>0.44348077865476365</c:v>
                </c:pt>
                <c:pt idx="19">
                  <c:v>0.5163679305093304</c:v>
                </c:pt>
                <c:pt idx="20">
                  <c:v>0.5756071582778637</c:v>
                </c:pt>
                <c:pt idx="21">
                  <c:v>0.5203434062549909</c:v>
                </c:pt>
              </c:numCache>
            </c:numRef>
          </c:yVal>
          <c:smooth val="0"/>
        </c:ser>
        <c:ser>
          <c:idx val="0"/>
          <c:order val="2"/>
          <c:tx>
            <c:v>DiHd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'Cpx Input &amp; Models'!$AS$15:$AS$36</c:f>
              <c:numCache>
                <c:ptCount val="22"/>
                <c:pt idx="0">
                  <c:v>0.6043755327312902</c:v>
                </c:pt>
                <c:pt idx="1">
                  <c:v>0.6073255182461957</c:v>
                </c:pt>
                <c:pt idx="2">
                  <c:v>0.5432133680222888</c:v>
                </c:pt>
                <c:pt idx="3">
                  <c:v>0.41928589458766585</c:v>
                </c:pt>
                <c:pt idx="4">
                  <c:v>0.520873844978645</c:v>
                </c:pt>
                <c:pt idx="5">
                  <c:v>0.6109865334421614</c:v>
                </c:pt>
                <c:pt idx="6">
                  <c:v>0.4021619218397459</c:v>
                </c:pt>
                <c:pt idx="7">
                  <c:v>0.4149691371267791</c:v>
                </c:pt>
                <c:pt idx="8">
                  <c:v>0.3969857593591452</c:v>
                </c:pt>
                <c:pt idx="9">
                  <c:v>0.41774750438874414</c:v>
                </c:pt>
                <c:pt idx="10">
                  <c:v>0.42360874382607155</c:v>
                </c:pt>
                <c:pt idx="11">
                  <c:v>0.37372266665261994</c:v>
                </c:pt>
                <c:pt idx="12">
                  <c:v>0.38782245719374697</c:v>
                </c:pt>
                <c:pt idx="13">
                  <c:v>0.29284863651637677</c:v>
                </c:pt>
                <c:pt idx="14">
                  <c:v>0.29901183222815336</c:v>
                </c:pt>
                <c:pt idx="15">
                  <c:v>0.3140322441556666</c:v>
                </c:pt>
                <c:pt idx="16">
                  <c:v>0.3235254271365482</c:v>
                </c:pt>
                <c:pt idx="17">
                  <c:v>0.3407873679589265</c:v>
                </c:pt>
                <c:pt idx="18">
                  <c:v>0.33358830994183286</c:v>
                </c:pt>
                <c:pt idx="19">
                  <c:v>0.25224332168685476</c:v>
                </c:pt>
                <c:pt idx="20">
                  <c:v>0.22612252868154456</c:v>
                </c:pt>
                <c:pt idx="21">
                  <c:v>0.26414141994223056</c:v>
                </c:pt>
              </c:numCache>
            </c:numRef>
          </c:xVal>
          <c:yVal>
            <c:numRef>
              <c:f>'Cpx Input &amp; Models'!$BA$15:$BA$36</c:f>
              <c:numCache>
                <c:ptCount val="22"/>
                <c:pt idx="0">
                  <c:v>0.6938428124784</c:v>
                </c:pt>
                <c:pt idx="1">
                  <c:v>0.7845215494995724</c:v>
                </c:pt>
                <c:pt idx="2">
                  <c:v>0.7471427093486772</c:v>
                </c:pt>
                <c:pt idx="3">
                  <c:v>0.7521414662281902</c:v>
                </c:pt>
                <c:pt idx="4">
                  <c:v>0.537626896842069</c:v>
                </c:pt>
                <c:pt idx="5">
                  <c:v>0.6004499928437057</c:v>
                </c:pt>
                <c:pt idx="6">
                  <c:v>0.35791545357066246</c:v>
                </c:pt>
                <c:pt idx="7">
                  <c:v>0.46077612106366067</c:v>
                </c:pt>
                <c:pt idx="8">
                  <c:v>0.45915439389378837</c:v>
                </c:pt>
                <c:pt idx="9">
                  <c:v>0.5060908868067312</c:v>
                </c:pt>
                <c:pt idx="10">
                  <c:v>0.49569435036053183</c:v>
                </c:pt>
                <c:pt idx="11">
                  <c:v>0.41808410200726764</c:v>
                </c:pt>
                <c:pt idx="12">
                  <c:v>0.42218180998194377</c:v>
                </c:pt>
                <c:pt idx="13">
                  <c:v>0.32264392239202133</c:v>
                </c:pt>
                <c:pt idx="14">
                  <c:v>0.33469997067789187</c:v>
                </c:pt>
                <c:pt idx="15">
                  <c:v>0.3296619483711163</c:v>
                </c:pt>
                <c:pt idx="16">
                  <c:v>0.3374849499814114</c:v>
                </c:pt>
                <c:pt idx="17">
                  <c:v>0.3824294329929335</c:v>
                </c:pt>
                <c:pt idx="18">
                  <c:v>0.341190188745043</c:v>
                </c:pt>
                <c:pt idx="19">
                  <c:v>0.21603058489873153</c:v>
                </c:pt>
                <c:pt idx="20">
                  <c:v>0.2553579569045384</c:v>
                </c:pt>
                <c:pt idx="21">
                  <c:v>0.25881420231313906</c:v>
                </c:pt>
              </c:numCache>
            </c:numRef>
          </c:yVal>
          <c:smooth val="0"/>
        </c:ser>
        <c:ser>
          <c:idx val="3"/>
          <c:order val="3"/>
          <c:tx>
            <c:v>One-to-one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'Cpx Input &amp; Models'!$AY$4:$AY$7</c:f>
              <c:numCache>
                <c:ptCount val="4"/>
                <c:pt idx="0">
                  <c:v>0</c:v>
                </c:pt>
                <c:pt idx="1">
                  <c:v>0.1</c:v>
                </c:pt>
                <c:pt idx="2">
                  <c:v>0.5</c:v>
                </c:pt>
                <c:pt idx="3">
                  <c:v>1</c:v>
                </c:pt>
              </c:numCache>
            </c:numRef>
          </c:xVal>
          <c:yVal>
            <c:numRef>
              <c:f>'Cpx Input &amp; Models'!$AZ$4:$AZ$7</c:f>
              <c:numCache>
                <c:ptCount val="4"/>
                <c:pt idx="0">
                  <c:v>0</c:v>
                </c:pt>
                <c:pt idx="1">
                  <c:v>0.1</c:v>
                </c:pt>
                <c:pt idx="2">
                  <c:v>0.5</c:v>
                </c:pt>
                <c:pt idx="3">
                  <c:v>1</c:v>
                </c:pt>
              </c:numCache>
            </c:numRef>
          </c:yVal>
          <c:smooth val="0"/>
        </c:ser>
        <c:axId val="37775477"/>
        <c:axId val="4434974"/>
      </c:scatterChart>
      <c:valAx>
        <c:axId val="37775477"/>
        <c:scaling>
          <c:orientation val="minMax"/>
          <c:max val="1"/>
        </c:scaling>
        <c:axPos val="b"/>
        <c:title>
          <c:tx>
            <c:rich>
              <a:bodyPr vert="horz" rot="0" anchor="ctr"/>
              <a:lstStyle/>
              <a:p>
                <a:pPr algn="ctr">
                  <a:defRPr/>
                </a:pPr>
                <a:r>
                  <a:rPr lang="en-US" cap="none" sz="1400" b="0" i="0" u="none" baseline="0">
                    <a:latin typeface="Verdana"/>
                    <a:ea typeface="Verdana"/>
                    <a:cs typeface="Verdana"/>
                  </a:rPr>
                  <a:t>Predicted Cpx Components</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434974"/>
        <c:crosses val="autoZero"/>
        <c:crossBetween val="midCat"/>
        <c:dispUnits/>
      </c:valAx>
      <c:valAx>
        <c:axId val="4434974"/>
        <c:scaling>
          <c:orientation val="minMax"/>
          <c:max val="1"/>
        </c:scaling>
        <c:axPos val="l"/>
        <c:title>
          <c:tx>
            <c:rich>
              <a:bodyPr vert="horz" rot="-5400000" anchor="ctr"/>
              <a:lstStyle/>
              <a:p>
                <a:pPr algn="ctr">
                  <a:defRPr/>
                </a:pPr>
                <a:r>
                  <a:rPr lang="en-US" cap="none" sz="1400" b="0" i="0" u="none" baseline="0">
                    <a:latin typeface="Verdana"/>
                    <a:ea typeface="Verdana"/>
                    <a:cs typeface="Verdana"/>
                  </a:rPr>
                  <a:t>Observed Cpx Components</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37775477"/>
        <c:crosses val="autoZero"/>
        <c:crossBetween val="midCat"/>
        <c:dispUnits/>
      </c:valAx>
      <c:spPr>
        <a:noFill/>
        <a:ln w="12700">
          <a:solidFill>
            <a:srgbClr val="000000"/>
          </a:solidFill>
        </a:ln>
      </c:spPr>
    </c:plotArea>
    <c:legend>
      <c:legendPos val="r"/>
      <c:layout>
        <c:manualLayout>
          <c:xMode val="edge"/>
          <c:yMode val="edge"/>
          <c:x val="0.15575"/>
          <c:y val="0.0535"/>
          <c:w val="0.24275"/>
          <c:h val="0.12175"/>
        </c:manualLayout>
      </c:layout>
      <c:overlay val="0"/>
      <c:spPr>
        <a:solidFill>
          <a:srgbClr val="FFFFFF"/>
        </a:solidFill>
        <a:ln w="12700">
          <a:solidFill>
            <a:srgbClr val="000000"/>
          </a:solid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79"/>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371475</xdr:colOff>
      <xdr:row>54</xdr:row>
      <xdr:rowOff>133350</xdr:rowOff>
    </xdr:to>
    <xdr:sp>
      <xdr:nvSpPr>
        <xdr:cNvPr id="1" name="TextBox 1"/>
        <xdr:cNvSpPr txBox="1">
          <a:spLocks noChangeArrowheads="1"/>
        </xdr:cNvSpPr>
      </xdr:nvSpPr>
      <xdr:spPr>
        <a:xfrm>
          <a:off x="47625" y="47625"/>
          <a:ext cx="8705850" cy="882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Clinopyroxene-based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clinopyroxene, whose composition will be entered in columns U – AD.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Because most thermometers are P-sensitive and most barometers are T-sensitive, we must choose a default of P-T inputs for iterative calculations (see prior section). The Default setting here, is that all the model outputs that appear in columns AI – BX, if required, use the values T(K) in column AF and P(kbar) in column AG as inputs. The value for T(K) in AF is from AI, or model T1 from Putirka et al. (1996) and for AG, the value for P(kbar) is from AM, or Eqn. P1 from the same reference.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you would rather solve two other equations simultaneously, then in cells AI15 and AG15, simply type in the cell reference for the models of interest. For example, if you want to solve for P and T using the models from Putirka et al. (2003) then in AI16 type “=AO15” and in AG15 type “=AP15”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Tests for equilibrium between clinopyroxene and a nominal coexisting liquid can be made by comparing observed and predicted values for Fe-Mg exchange, 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should be 0.27±0.03. For this test, compare the values in column BH to 0.27. In Column BH a coefficient is used so that the amount of Fe in the liquid is only Fe2+, not Fe3+. In column J, Fe is entered as FeOt for total FeO, but if Fe3+ is significant, then the coefficient in BH should be something less than 1. It is much easier to make the correction on the weight % side: for most volcanic systems, FeO=x(Fe2O3t), where x is between 0.88 and 0.90. If the conversion is performed on the cation fraction side, x will be between 0.91 and0 .95 or so. In any case, values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   </a:t>
          </a:r>
          <a:r>
            <a:rPr lang="en-US" cap="none" sz="1200" b="0" i="0" u="none" baseline="0">
              <a:solidFill>
                <a:srgbClr val="000000"/>
              </a:solidFill>
              <a:latin typeface="Calibri"/>
              <a:ea typeface="Calibri"/>
              <a:cs typeface="Calibri"/>
            </a:rPr>
            <a:t>can be compared to the constant value (0.27±0.03) or to the T-sensitive model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is given in column BT.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Another test is to compare predicated and observed values for the clinopyroxene components (i.e., compare columns AS – AY to BA – BG). For experimental data, various quantities that can be used as tests for equilibrium appear to be correlated; thus, if equilibrium or disequilibrium is indicated by one parameter, other parameters often (though no always) follow. However, in the RiMG volume, I show some instances for experimental data where the comparison of clinopyroxene components provides a more certain test than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For the sample calculations, predicated and observed values for components are plotted in the sheet “Test for Equilibrium”.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4">
      <selection activeCell="G52" sqref="G52"/>
    </sheetView>
  </sheetViews>
  <sheetFormatPr defaultColWidth="11.0039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O36"/>
  <sheetViews>
    <sheetView workbookViewId="0" topLeftCell="X1">
      <selection activeCell="BK15" sqref="BK15"/>
    </sheetView>
  </sheetViews>
  <sheetFormatPr defaultColWidth="11.00390625" defaultRowHeight="12.75"/>
  <cols>
    <col min="1" max="1" width="28.125" style="1" customWidth="1"/>
    <col min="2" max="2" width="16.75390625" style="85" customWidth="1"/>
    <col min="3" max="4" width="10.75390625" style="3" customWidth="1"/>
    <col min="5" max="5" width="3.875" style="1" customWidth="1"/>
    <col min="6" max="19" width="10.75390625" style="1" customWidth="1"/>
    <col min="20" max="20" width="4.375" style="1" customWidth="1"/>
    <col min="21" max="31" width="10.75390625" style="1" customWidth="1"/>
    <col min="32" max="33" width="17.875" style="38" customWidth="1"/>
    <col min="34" max="34" width="7.875" style="1" customWidth="1"/>
    <col min="35" max="39" width="10.75390625" style="3" customWidth="1"/>
    <col min="40" max="40" width="1.625" style="3" customWidth="1"/>
    <col min="41" max="43" width="13.375" style="3" customWidth="1"/>
    <col min="44" max="49" width="6.625" style="3" customWidth="1"/>
    <col min="50" max="50" width="9.125" style="3" customWidth="1"/>
    <col min="51" max="52" width="6.625" style="3" customWidth="1"/>
    <col min="53" max="53" width="7.75390625" style="3" customWidth="1"/>
    <col min="54" max="54" width="8.00390625" style="3" customWidth="1"/>
    <col min="55" max="55" width="7.375" style="3" customWidth="1"/>
    <col min="56" max="56" width="7.25390625" style="3" customWidth="1"/>
    <col min="57" max="57" width="7.625" style="3" customWidth="1"/>
    <col min="58" max="58" width="8.00390625" style="3" customWidth="1"/>
    <col min="59" max="59" width="7.25390625" style="3" customWidth="1"/>
    <col min="60" max="60" width="8.00390625" style="3" customWidth="1"/>
    <col min="61" max="61" width="8.625" style="3" customWidth="1"/>
    <col min="62" max="63" width="10.75390625" style="3" customWidth="1"/>
    <col min="64" max="65" width="12.625" style="3" customWidth="1"/>
    <col min="66" max="66" width="10.75390625" style="3" customWidth="1"/>
    <col min="67" max="67" width="1.625" style="3" customWidth="1"/>
    <col min="68" max="68" width="10.75390625" style="1" customWidth="1"/>
    <col min="69" max="69" width="15.00390625" style="1" customWidth="1"/>
    <col min="70" max="70" width="12.25390625" style="1" customWidth="1"/>
    <col min="71" max="73" width="9.875" style="1" customWidth="1"/>
    <col min="74" max="74" width="15.25390625" style="1" customWidth="1"/>
    <col min="75" max="75" width="19.375" style="1" customWidth="1"/>
    <col min="76" max="76" width="18.00390625" style="1" customWidth="1"/>
    <col min="77" max="77" width="5.00390625" style="1" customWidth="1"/>
    <col min="78" max="89" width="10.75390625" style="1" customWidth="1"/>
    <col min="90" max="90" width="3.00390625" style="1" customWidth="1"/>
    <col min="91" max="101" width="10.75390625" style="1" customWidth="1"/>
    <col min="102" max="102" width="3.625" style="1" customWidth="1"/>
    <col min="103" max="103" width="2.25390625" style="1" customWidth="1"/>
    <col min="104" max="111" width="7.75390625" style="1" customWidth="1"/>
    <col min="112" max="112" width="5.125" style="1" customWidth="1"/>
    <col min="113" max="113" width="7.75390625" style="1" customWidth="1"/>
    <col min="114" max="114" width="4.375" style="1" customWidth="1"/>
    <col min="115" max="115" width="2.375" style="1" customWidth="1"/>
    <col min="116" max="125" width="10.75390625" style="1" customWidth="1"/>
    <col min="126" max="126" width="5.875" style="1" customWidth="1"/>
    <col min="127" max="127" width="17.00390625" style="1" customWidth="1"/>
    <col min="128" max="128" width="2.375" style="1" customWidth="1"/>
    <col min="129" max="132" width="10.75390625" style="1" customWidth="1"/>
    <col min="133" max="133" width="7.00390625" style="1" customWidth="1"/>
    <col min="134" max="138" width="10.75390625" style="1" customWidth="1"/>
    <col min="139" max="139" width="9.00390625" style="1" customWidth="1"/>
    <col min="140" max="140" width="10.75390625" style="1" customWidth="1"/>
    <col min="141" max="141" width="6.00390625" style="1" customWidth="1"/>
    <col min="142" max="143" width="14.875" style="1" customWidth="1"/>
    <col min="144" max="147" width="10.75390625" style="1" customWidth="1"/>
    <col min="148" max="148" width="11.25390625" style="1" customWidth="1"/>
    <col min="149" max="149" width="10.75390625" style="1" customWidth="1"/>
    <col min="150" max="150" width="9.125" style="1" customWidth="1"/>
    <col min="151" max="151" width="10.875" style="1" customWidth="1"/>
    <col min="152" max="152" width="9.125" style="1" customWidth="1"/>
    <col min="153" max="153" width="9.625" style="1" customWidth="1"/>
    <col min="154" max="155" width="9.125" style="1" customWidth="1"/>
    <col min="156" max="160" width="10.75390625" style="1" customWidth="1"/>
    <col min="161" max="161" width="21.25390625" style="1" customWidth="1"/>
    <col min="162" max="169" width="10.75390625" style="1" customWidth="1"/>
    <col min="170" max="170" width="12.375" style="1" customWidth="1"/>
    <col min="171" max="184" width="10.75390625" style="1" customWidth="1"/>
    <col min="185" max="186" width="10.625" style="1" customWidth="1"/>
    <col min="187" max="219" width="10.75390625" style="1" customWidth="1"/>
    <col min="220" max="220" width="14.375" style="1" customWidth="1"/>
    <col min="221" max="221" width="10.75390625" style="1" customWidth="1"/>
    <col min="222" max="222" width="13.75390625" style="1" customWidth="1"/>
    <col min="223" max="236" width="10.75390625" style="1" customWidth="1"/>
    <col min="237" max="237" width="13.75390625" style="1" customWidth="1"/>
    <col min="238" max="16384" width="10.75390625" style="1" customWidth="1"/>
  </cols>
  <sheetData>
    <row r="1" spans="1:33" ht="22.5">
      <c r="A1" s="18" t="s">
        <v>158</v>
      </c>
      <c r="B1" s="21"/>
      <c r="C1" s="20"/>
      <c r="D1" s="20"/>
      <c r="E1" s="20"/>
      <c r="F1" s="21"/>
      <c r="G1" s="19"/>
      <c r="AF1" s="3"/>
      <c r="AG1" s="3"/>
    </row>
    <row r="2" spans="1:33" ht="12.75">
      <c r="A2" s="22"/>
      <c r="B2" s="21"/>
      <c r="C2" s="20"/>
      <c r="D2" s="20"/>
      <c r="E2" s="20"/>
      <c r="F2" s="21"/>
      <c r="G2" s="19"/>
      <c r="AF2" s="3"/>
      <c r="AG2" s="3"/>
    </row>
    <row r="3" spans="1:52" ht="22.5">
      <c r="A3" s="23" t="s">
        <v>187</v>
      </c>
      <c r="B3" s="21"/>
      <c r="C3" s="20"/>
      <c r="D3" s="20"/>
      <c r="E3" s="20"/>
      <c r="F3" s="21"/>
      <c r="G3" s="19"/>
      <c r="AF3" s="3"/>
      <c r="AG3" s="3"/>
      <c r="AY3" s="54" t="s">
        <v>56</v>
      </c>
      <c r="AZ3" s="55"/>
    </row>
    <row r="4" spans="1:52" ht="22.5">
      <c r="A4" s="23" t="s">
        <v>188</v>
      </c>
      <c r="B4" s="21"/>
      <c r="C4" s="20"/>
      <c r="D4" s="20"/>
      <c r="E4" s="20"/>
      <c r="F4" s="21"/>
      <c r="G4" s="19"/>
      <c r="AF4" s="3"/>
      <c r="AG4" s="3"/>
      <c r="AY4" s="92">
        <v>0</v>
      </c>
      <c r="AZ4" s="93">
        <f>AY4</f>
        <v>0</v>
      </c>
    </row>
    <row r="5" spans="1:52" ht="12.75">
      <c r="A5" s="22"/>
      <c r="B5" s="21"/>
      <c r="C5" s="20"/>
      <c r="D5" s="20"/>
      <c r="E5" s="20"/>
      <c r="F5" s="21"/>
      <c r="G5" s="19"/>
      <c r="AF5" s="3"/>
      <c r="AG5" s="3"/>
      <c r="AY5" s="92">
        <v>0.1</v>
      </c>
      <c r="AZ5" s="93">
        <f>AY5</f>
        <v>0.1</v>
      </c>
    </row>
    <row r="6" spans="1:52" ht="18">
      <c r="A6" s="24" t="s">
        <v>84</v>
      </c>
      <c r="B6" s="21"/>
      <c r="C6" s="20"/>
      <c r="D6" s="20"/>
      <c r="E6" s="20"/>
      <c r="F6" s="21"/>
      <c r="G6" s="19"/>
      <c r="AF6" s="3"/>
      <c r="AG6" s="3"/>
      <c r="AI6" s="54" t="s">
        <v>194</v>
      </c>
      <c r="AJ6" s="59"/>
      <c r="AK6" s="59"/>
      <c r="AL6" s="59"/>
      <c r="AM6" s="59"/>
      <c r="AN6" s="59"/>
      <c r="AO6" s="59"/>
      <c r="AP6" s="59"/>
      <c r="AQ6" s="55"/>
      <c r="AY6" s="94">
        <v>0.5</v>
      </c>
      <c r="AZ6" s="93">
        <f>AY6</f>
        <v>0.5</v>
      </c>
    </row>
    <row r="7" spans="1:52" ht="18">
      <c r="A7" s="24" t="s">
        <v>57</v>
      </c>
      <c r="B7" s="21"/>
      <c r="C7" s="20"/>
      <c r="D7" s="20"/>
      <c r="E7" s="20"/>
      <c r="F7" s="21"/>
      <c r="G7" s="19"/>
      <c r="AF7" s="3"/>
      <c r="AG7" s="3"/>
      <c r="AI7" s="60" t="s">
        <v>195</v>
      </c>
      <c r="AJ7" s="37"/>
      <c r="AK7" s="37"/>
      <c r="AL7" s="61"/>
      <c r="AM7" s="61"/>
      <c r="AN7" s="61"/>
      <c r="AO7" s="61"/>
      <c r="AP7" s="61"/>
      <c r="AQ7" s="62"/>
      <c r="AY7" s="95">
        <v>1</v>
      </c>
      <c r="AZ7" s="57">
        <f>AY7</f>
        <v>1</v>
      </c>
    </row>
    <row r="8" spans="1:223" ht="18">
      <c r="A8" s="24"/>
      <c r="B8" s="21"/>
      <c r="C8" s="20"/>
      <c r="D8" s="20"/>
      <c r="E8" s="20"/>
      <c r="F8" s="21"/>
      <c r="G8" s="19"/>
      <c r="AF8" s="3"/>
      <c r="AG8" s="3"/>
      <c r="AI8" s="63" t="s">
        <v>196</v>
      </c>
      <c r="AJ8" s="37"/>
      <c r="AK8" s="37"/>
      <c r="AL8" s="61"/>
      <c r="AM8" s="61"/>
      <c r="AN8" s="61"/>
      <c r="AO8" s="61"/>
      <c r="AP8" s="61"/>
      <c r="AQ8" s="62"/>
      <c r="AR8" s="87"/>
      <c r="AS8" s="87"/>
      <c r="AT8" s="87"/>
      <c r="AU8" s="87"/>
      <c r="AV8" s="87"/>
      <c r="AW8" s="87"/>
      <c r="AX8" s="87"/>
      <c r="AY8" s="87"/>
      <c r="AZ8" s="87"/>
      <c r="BA8" s="87"/>
      <c r="BB8" s="87"/>
      <c r="BF8" s="87"/>
      <c r="BG8" s="102"/>
      <c r="BH8" s="103" t="s">
        <v>55</v>
      </c>
      <c r="BI8" s="104"/>
      <c r="BP8"/>
      <c r="BZ8" s="1" t="s">
        <v>86</v>
      </c>
      <c r="EZ8"/>
      <c r="FA8"/>
      <c r="FG8"/>
      <c r="FH8"/>
      <c r="FI8"/>
      <c r="FJ8"/>
      <c r="HL8" s="1" t="s">
        <v>133</v>
      </c>
      <c r="HM8" s="1">
        <v>537.003</v>
      </c>
      <c r="HO8" s="1">
        <v>621.151</v>
      </c>
    </row>
    <row r="9" spans="1:223" ht="18">
      <c r="A9" s="24"/>
      <c r="B9" s="21"/>
      <c r="C9" s="20"/>
      <c r="D9" s="20"/>
      <c r="E9" s="20"/>
      <c r="F9" s="21"/>
      <c r="G9" s="19"/>
      <c r="AF9" s="3"/>
      <c r="AG9" s="3"/>
      <c r="AI9" s="63" t="s">
        <v>139</v>
      </c>
      <c r="AQ9" s="62"/>
      <c r="AR9" s="87"/>
      <c r="AS9" s="98" t="s">
        <v>37</v>
      </c>
      <c r="AT9" s="99"/>
      <c r="AU9" s="99"/>
      <c r="AV9" s="99"/>
      <c r="AW9" s="99"/>
      <c r="AX9" s="99"/>
      <c r="AY9" s="99"/>
      <c r="AZ9" s="99"/>
      <c r="BA9" s="99"/>
      <c r="BB9" s="99"/>
      <c r="BC9" s="37"/>
      <c r="BD9" s="37"/>
      <c r="BE9" s="37"/>
      <c r="BF9" s="99"/>
      <c r="BG9" s="95"/>
      <c r="BH9" s="105">
        <v>1</v>
      </c>
      <c r="BI9" s="106"/>
      <c r="BP9"/>
      <c r="BZ9" s="1" t="s">
        <v>134</v>
      </c>
      <c r="CA9" s="1" t="s">
        <v>44</v>
      </c>
      <c r="CB9" s="1" t="s">
        <v>45</v>
      </c>
      <c r="CC9" s="1" t="s">
        <v>46</v>
      </c>
      <c r="CD9" s="1" t="s">
        <v>47</v>
      </c>
      <c r="CE9" s="1" t="s">
        <v>48</v>
      </c>
      <c r="CF9" s="1" t="s">
        <v>49</v>
      </c>
      <c r="CG9" s="1" t="s">
        <v>50</v>
      </c>
      <c r="CH9" s="1" t="s">
        <v>51</v>
      </c>
      <c r="CI9" s="1" t="s">
        <v>52</v>
      </c>
      <c r="CJ9" s="1" t="s">
        <v>53</v>
      </c>
      <c r="CM9"/>
      <c r="CN9"/>
      <c r="CO9"/>
      <c r="CP9"/>
      <c r="CQ9"/>
      <c r="CR9"/>
      <c r="CS9"/>
      <c r="CT9"/>
      <c r="CU9"/>
      <c r="EV9"/>
      <c r="EW9"/>
      <c r="EZ9"/>
      <c r="FA9"/>
      <c r="FG9"/>
      <c r="FH9"/>
      <c r="FI9"/>
      <c r="FJ9"/>
      <c r="GG9" s="1" t="s">
        <v>133</v>
      </c>
      <c r="GH9" s="1">
        <v>592.589</v>
      </c>
      <c r="GI9" s="1">
        <v>537.003</v>
      </c>
      <c r="GJ9" s="1">
        <v>621.151</v>
      </c>
      <c r="HL9" s="1" t="s">
        <v>39</v>
      </c>
      <c r="HM9" s="1">
        <v>-1.017</v>
      </c>
      <c r="HO9" s="1">
        <v>-1.22</v>
      </c>
    </row>
    <row r="10" spans="1:223" ht="18.75" thickBot="1">
      <c r="A10" s="24"/>
      <c r="B10" s="21"/>
      <c r="C10" s="20"/>
      <c r="D10" s="20"/>
      <c r="E10" s="20"/>
      <c r="F10" s="21"/>
      <c r="G10" s="19"/>
      <c r="AF10" s="54" t="s">
        <v>192</v>
      </c>
      <c r="AG10" s="55"/>
      <c r="AI10" s="64" t="s">
        <v>114</v>
      </c>
      <c r="AJ10" s="65"/>
      <c r="AK10" s="65"/>
      <c r="AL10" s="35"/>
      <c r="AM10" s="35"/>
      <c r="AN10" s="35"/>
      <c r="AO10" s="35"/>
      <c r="AP10" s="35"/>
      <c r="AQ10" s="66"/>
      <c r="AR10" s="87"/>
      <c r="AS10" s="100" t="s">
        <v>38</v>
      </c>
      <c r="AT10" s="101"/>
      <c r="AU10" s="101"/>
      <c r="AV10" s="101"/>
      <c r="AW10" s="101"/>
      <c r="AX10" s="101"/>
      <c r="AY10" s="101"/>
      <c r="AZ10" s="101"/>
      <c r="BA10" s="101"/>
      <c r="BB10" s="101"/>
      <c r="BC10" s="101"/>
      <c r="BD10" s="101"/>
      <c r="BE10" s="101"/>
      <c r="BF10" s="101"/>
      <c r="BG10" s="101"/>
      <c r="BH10" s="99"/>
      <c r="BI10" s="87"/>
      <c r="BP10"/>
      <c r="BZ10" s="1">
        <v>60.0843</v>
      </c>
      <c r="CA10" s="1">
        <v>79.8788</v>
      </c>
      <c r="CB10" s="1">
        <v>101.961</v>
      </c>
      <c r="CC10" s="1">
        <v>71.8464</v>
      </c>
      <c r="CD10" s="1">
        <v>70.9375</v>
      </c>
      <c r="CE10" s="1">
        <v>40.3044</v>
      </c>
      <c r="CF10" s="1">
        <v>56.0774</v>
      </c>
      <c r="CG10" s="1">
        <v>61.9789</v>
      </c>
      <c r="CH10" s="1">
        <v>94.196</v>
      </c>
      <c r="CI10" s="1">
        <f>52*2+3*15.9994</f>
        <v>151.9982</v>
      </c>
      <c r="CJ10" s="1">
        <f>2*30.97+5*15.9994</f>
        <v>141.937</v>
      </c>
      <c r="EC10"/>
      <c r="ED10"/>
      <c r="EE10"/>
      <c r="EV10"/>
      <c r="EW10"/>
      <c r="EZ10"/>
      <c r="FA10"/>
      <c r="FE10" s="2"/>
      <c r="FG10"/>
      <c r="FH10"/>
      <c r="FI10"/>
      <c r="FJ10"/>
      <c r="GG10" s="1" t="s">
        <v>39</v>
      </c>
      <c r="GH10" s="1">
        <v>-1.085</v>
      </c>
      <c r="GI10" s="1">
        <v>-1.017</v>
      </c>
      <c r="GJ10" s="1">
        <v>-1.22</v>
      </c>
      <c r="HL10" s="1" t="s">
        <v>40</v>
      </c>
      <c r="HM10" s="1">
        <v>-5.663</v>
      </c>
      <c r="HO10" s="1">
        <v>-4.62</v>
      </c>
    </row>
    <row r="11" spans="1:223" ht="18.75" thickBot="1">
      <c r="A11" s="24"/>
      <c r="B11" s="21"/>
      <c r="C11" s="34"/>
      <c r="D11" s="34"/>
      <c r="E11" s="20"/>
      <c r="F11" s="21"/>
      <c r="G11" s="97" t="s">
        <v>223</v>
      </c>
      <c r="H11" s="28"/>
      <c r="I11" s="28"/>
      <c r="J11" s="88"/>
      <c r="K11" s="89"/>
      <c r="L11" s="89"/>
      <c r="U11" s="97" t="s">
        <v>191</v>
      </c>
      <c r="V11" s="28"/>
      <c r="W11" s="29"/>
      <c r="AF11" s="56" t="s">
        <v>193</v>
      </c>
      <c r="AG11" s="57"/>
      <c r="AI11" s="39" t="s">
        <v>43</v>
      </c>
      <c r="AJ11" s="39"/>
      <c r="AK11" s="39"/>
      <c r="AL11" s="39"/>
      <c r="AM11" s="39"/>
      <c r="AN11" s="39"/>
      <c r="AO11" s="39" t="s">
        <v>176</v>
      </c>
      <c r="AP11" s="39"/>
      <c r="AQ11" s="39"/>
      <c r="AR11" s="85"/>
      <c r="AS11" s="39" t="s">
        <v>136</v>
      </c>
      <c r="AT11" s="39"/>
      <c r="AU11" s="39"/>
      <c r="AV11" s="39"/>
      <c r="AW11" s="39"/>
      <c r="AX11" s="39"/>
      <c r="AY11" s="39"/>
      <c r="AZ11" s="85"/>
      <c r="BA11" s="39" t="s">
        <v>135</v>
      </c>
      <c r="BB11" s="39"/>
      <c r="BC11" s="39"/>
      <c r="BD11" s="39"/>
      <c r="BE11" s="39"/>
      <c r="BF11" s="39"/>
      <c r="BG11" s="39"/>
      <c r="BH11" s="39"/>
      <c r="BI11" s="85"/>
      <c r="BJ11" s="39" t="s">
        <v>220</v>
      </c>
      <c r="BK11" s="39"/>
      <c r="BL11" s="39"/>
      <c r="BM11" s="39"/>
      <c r="BN11" s="39"/>
      <c r="BO11" s="39"/>
      <c r="BP11" s="40" t="s">
        <v>115</v>
      </c>
      <c r="BQ11" s="41"/>
      <c r="BR11" s="41"/>
      <c r="BS11" s="40"/>
      <c r="BT11" s="40"/>
      <c r="BU11" s="67"/>
      <c r="BV11" s="41"/>
      <c r="BW11" s="41"/>
      <c r="BX11" s="41"/>
      <c r="EC11"/>
      <c r="ED11"/>
      <c r="EE11"/>
      <c r="EV11"/>
      <c r="EW11"/>
      <c r="FG11"/>
      <c r="FH11"/>
      <c r="FI11"/>
      <c r="FJ11"/>
      <c r="FM11" s="1" t="s">
        <v>177</v>
      </c>
      <c r="GG11" s="1" t="s">
        <v>40</v>
      </c>
      <c r="GH11" s="1">
        <v>-7.459</v>
      </c>
      <c r="GI11" s="1">
        <v>-5.663</v>
      </c>
      <c r="GJ11" s="1">
        <v>-4.62</v>
      </c>
      <c r="HL11" s="1" t="s">
        <v>178</v>
      </c>
      <c r="HM11" s="1">
        <v>-2.722</v>
      </c>
      <c r="HO11" s="1">
        <v>-7.773</v>
      </c>
    </row>
    <row r="12" spans="1:220" ht="18.75" thickBot="1">
      <c r="A12" s="24"/>
      <c r="B12" s="21"/>
      <c r="C12" s="96" t="s">
        <v>240</v>
      </c>
      <c r="D12" s="35"/>
      <c r="E12" s="20"/>
      <c r="F12" s="21"/>
      <c r="AI12" s="42"/>
      <c r="AJ12" s="42"/>
      <c r="AK12" s="42"/>
      <c r="AL12" s="42"/>
      <c r="AM12" s="42"/>
      <c r="AN12" s="43"/>
      <c r="AO12" s="42"/>
      <c r="AP12" s="42"/>
      <c r="AQ12" s="42"/>
      <c r="AS12" s="91" t="s">
        <v>199</v>
      </c>
      <c r="AT12" s="42"/>
      <c r="AU12" s="42"/>
      <c r="AV12" s="42"/>
      <c r="AW12" s="42"/>
      <c r="AX12" s="42"/>
      <c r="AY12" s="42"/>
      <c r="BA12" s="91" t="s">
        <v>0</v>
      </c>
      <c r="BB12" s="42"/>
      <c r="BC12" s="42"/>
      <c r="BD12" s="42"/>
      <c r="BE12" s="42"/>
      <c r="BF12" s="42"/>
      <c r="BG12" s="42"/>
      <c r="BH12" s="42"/>
      <c r="BJ12" s="42"/>
      <c r="BK12" s="42"/>
      <c r="BL12" s="42"/>
      <c r="BM12" s="42"/>
      <c r="BN12" s="42"/>
      <c r="BO12" s="44"/>
      <c r="BP12" s="45" t="s">
        <v>221</v>
      </c>
      <c r="BQ12" s="45"/>
      <c r="BR12" s="45"/>
      <c r="BS12" s="46"/>
      <c r="BT12" s="46"/>
      <c r="BU12" s="68"/>
      <c r="BV12" s="45"/>
      <c r="BW12" s="45"/>
      <c r="BX12" s="45"/>
      <c r="BY12" s="5"/>
      <c r="BZ12" s="1" t="s">
        <v>41</v>
      </c>
      <c r="CM12" s="72" t="s">
        <v>41</v>
      </c>
      <c r="CN12" s="73"/>
      <c r="CO12" s="73"/>
      <c r="CP12" s="73"/>
      <c r="CQ12" s="73"/>
      <c r="CR12" s="73"/>
      <c r="CS12" s="73"/>
      <c r="CT12" s="73"/>
      <c r="CU12" s="73"/>
      <c r="CV12" s="73"/>
      <c r="CW12" s="74"/>
      <c r="CZ12" s="1" t="s">
        <v>42</v>
      </c>
      <c r="DL12" s="1" t="s">
        <v>42</v>
      </c>
      <c r="DY12" s="72" t="s">
        <v>42</v>
      </c>
      <c r="DZ12" s="73"/>
      <c r="EA12" s="73"/>
      <c r="EB12" s="73"/>
      <c r="EC12" s="80"/>
      <c r="ED12" s="80"/>
      <c r="EE12" s="80"/>
      <c r="EF12" s="73"/>
      <c r="EG12" s="73"/>
      <c r="EH12" s="73"/>
      <c r="EI12" s="73"/>
      <c r="EJ12" s="73"/>
      <c r="EK12" s="74"/>
      <c r="EL12" s="1" t="s">
        <v>219</v>
      </c>
      <c r="FC12" s="5" t="s">
        <v>179</v>
      </c>
      <c r="FD12" s="5"/>
      <c r="FE12" s="1" t="s">
        <v>180</v>
      </c>
      <c r="GG12" s="1" t="s">
        <v>178</v>
      </c>
      <c r="GH12" s="1">
        <v>-5.555</v>
      </c>
      <c r="GI12" s="1">
        <v>-2.722</v>
      </c>
      <c r="GJ12" s="1">
        <v>-7.773</v>
      </c>
      <c r="HL12" s="1" t="s">
        <v>181</v>
      </c>
    </row>
    <row r="13" spans="1:224" ht="13.5">
      <c r="A13" s="22" t="s">
        <v>189</v>
      </c>
      <c r="B13" s="27"/>
      <c r="C13" s="36" t="s">
        <v>190</v>
      </c>
      <c r="D13" s="25" t="s">
        <v>190</v>
      </c>
      <c r="E13" s="26"/>
      <c r="F13" s="27" t="s">
        <v>75</v>
      </c>
      <c r="G13" s="30" t="s">
        <v>78</v>
      </c>
      <c r="H13" s="31"/>
      <c r="I13" s="31"/>
      <c r="J13" s="31"/>
      <c r="K13" s="31"/>
      <c r="L13" s="31"/>
      <c r="M13" s="31"/>
      <c r="N13" s="31"/>
      <c r="O13" s="31"/>
      <c r="P13" s="31"/>
      <c r="Q13" s="31"/>
      <c r="R13" s="31"/>
      <c r="S13" s="1" t="s">
        <v>76</v>
      </c>
      <c r="U13" s="30" t="s">
        <v>85</v>
      </c>
      <c r="V13" s="31"/>
      <c r="W13" s="31"/>
      <c r="X13" s="31"/>
      <c r="Y13" s="31"/>
      <c r="Z13" s="31"/>
      <c r="AA13" s="31"/>
      <c r="AB13" s="31"/>
      <c r="AC13" s="31"/>
      <c r="AD13" s="31"/>
      <c r="AE13"/>
      <c r="AF13" s="52" t="s">
        <v>118</v>
      </c>
      <c r="AG13" s="52" t="s">
        <v>119</v>
      </c>
      <c r="AI13" s="44" t="s">
        <v>64</v>
      </c>
      <c r="AJ13" s="44"/>
      <c r="AK13" s="44" t="s">
        <v>65</v>
      </c>
      <c r="AL13" s="44"/>
      <c r="AM13" s="44" t="s">
        <v>66</v>
      </c>
      <c r="AN13" s="43"/>
      <c r="AO13" s="44"/>
      <c r="AP13" s="44"/>
      <c r="AQ13" s="44"/>
      <c r="AS13" s="44" t="s">
        <v>198</v>
      </c>
      <c r="AT13" s="44">
        <v>3.2</v>
      </c>
      <c r="AU13" s="44">
        <v>3.4</v>
      </c>
      <c r="AV13" s="44">
        <v>3.5</v>
      </c>
      <c r="AW13" s="44">
        <v>3.6</v>
      </c>
      <c r="AX13" s="44">
        <v>3.7</v>
      </c>
      <c r="AY13" s="44"/>
      <c r="BA13" s="44"/>
      <c r="BB13" s="44"/>
      <c r="BC13" s="44"/>
      <c r="BD13" s="44"/>
      <c r="BE13" s="44"/>
      <c r="BF13" s="44"/>
      <c r="BG13" s="44"/>
      <c r="BH13" s="44"/>
      <c r="BJ13" s="44" t="s">
        <v>67</v>
      </c>
      <c r="BK13" s="44" t="s">
        <v>68</v>
      </c>
      <c r="BL13" s="44" t="s">
        <v>69</v>
      </c>
      <c r="BM13" s="44" t="s">
        <v>70</v>
      </c>
      <c r="BN13" s="44" t="s">
        <v>70</v>
      </c>
      <c r="BO13" s="44"/>
      <c r="BP13" s="47" t="s">
        <v>140</v>
      </c>
      <c r="BQ13" s="47" t="s">
        <v>180</v>
      </c>
      <c r="BR13" s="47" t="s">
        <v>80</v>
      </c>
      <c r="BS13" s="47" t="s">
        <v>73</v>
      </c>
      <c r="BT13" s="47" t="s">
        <v>74</v>
      </c>
      <c r="BU13" s="5"/>
      <c r="BV13" s="47" t="s">
        <v>25</v>
      </c>
      <c r="BW13" s="47" t="s">
        <v>222</v>
      </c>
      <c r="BX13" s="41" t="s">
        <v>35</v>
      </c>
      <c r="BY13" s="5"/>
      <c r="BZ13" s="1" t="s">
        <v>182</v>
      </c>
      <c r="CM13" s="75" t="s">
        <v>183</v>
      </c>
      <c r="CN13" s="5"/>
      <c r="CO13" s="5"/>
      <c r="CP13" s="5"/>
      <c r="CQ13" s="5"/>
      <c r="CR13" s="5"/>
      <c r="CS13" s="5"/>
      <c r="CT13" s="5"/>
      <c r="CU13" s="5"/>
      <c r="CV13" s="5"/>
      <c r="CW13" s="76"/>
      <c r="CZ13" s="1" t="s">
        <v>184</v>
      </c>
      <c r="DL13" s="1" t="s">
        <v>185</v>
      </c>
      <c r="DV13" s="1" t="s">
        <v>215</v>
      </c>
      <c r="DW13" s="1" t="s">
        <v>217</v>
      </c>
      <c r="DY13" s="75" t="s">
        <v>61</v>
      </c>
      <c r="DZ13" s="5"/>
      <c r="EA13" s="5"/>
      <c r="EB13" s="5"/>
      <c r="EC13" s="5"/>
      <c r="ED13" s="5"/>
      <c r="EE13" s="5"/>
      <c r="EF13" s="5"/>
      <c r="EG13" s="5"/>
      <c r="EH13" s="5"/>
      <c r="EI13" s="5"/>
      <c r="EJ13" s="5"/>
      <c r="EK13" s="76" t="s">
        <v>141</v>
      </c>
      <c r="EL13" s="1" t="s">
        <v>62</v>
      </c>
      <c r="EM13" s="1" t="s">
        <v>63</v>
      </c>
      <c r="EN13" s="72" t="s">
        <v>150</v>
      </c>
      <c r="EO13" s="73"/>
      <c r="EP13" s="73"/>
      <c r="EQ13" s="73"/>
      <c r="ER13" s="73"/>
      <c r="ES13" s="73"/>
      <c r="ET13" s="73" t="s">
        <v>151</v>
      </c>
      <c r="EU13" s="74"/>
      <c r="EW13" s="1">
        <v>1996</v>
      </c>
      <c r="EX13" s="1">
        <v>2003</v>
      </c>
      <c r="FC13" s="5" t="s">
        <v>71</v>
      </c>
      <c r="FD13" s="5" t="s">
        <v>71</v>
      </c>
      <c r="FE13" s="1" t="s">
        <v>72</v>
      </c>
      <c r="FI13" s="1" t="s">
        <v>70</v>
      </c>
      <c r="FJ13" s="1" t="s">
        <v>24</v>
      </c>
      <c r="FK13" s="1" t="s">
        <v>25</v>
      </c>
      <c r="FM13" s="1" t="s">
        <v>26</v>
      </c>
      <c r="FT13" s="1" t="s">
        <v>27</v>
      </c>
      <c r="GA13" s="1" t="s">
        <v>181</v>
      </c>
      <c r="GC13" s="1" t="s">
        <v>28</v>
      </c>
      <c r="GG13" s="1" t="s">
        <v>81</v>
      </c>
      <c r="GH13" s="1" t="s">
        <v>29</v>
      </c>
      <c r="GI13" s="1" t="s">
        <v>30</v>
      </c>
      <c r="GK13" s="1" t="s">
        <v>31</v>
      </c>
      <c r="HL13" s="6" t="s">
        <v>32</v>
      </c>
      <c r="HM13" s="6"/>
      <c r="HN13" s="6" t="s">
        <v>33</v>
      </c>
      <c r="HO13" s="6"/>
      <c r="HP13" s="6" t="s">
        <v>34</v>
      </c>
    </row>
    <row r="14" spans="1:246" ht="18" customHeight="1" thickBot="1">
      <c r="A14" s="1" t="s">
        <v>159</v>
      </c>
      <c r="B14" s="85" t="s">
        <v>156</v>
      </c>
      <c r="C14" s="3" t="s">
        <v>162</v>
      </c>
      <c r="D14" s="3" t="s">
        <v>161</v>
      </c>
      <c r="F14" s="1" t="s">
        <v>36</v>
      </c>
      <c r="G14" s="32" t="s">
        <v>134</v>
      </c>
      <c r="H14" s="32" t="s">
        <v>44</v>
      </c>
      <c r="I14" s="32" t="s">
        <v>45</v>
      </c>
      <c r="J14" s="32" t="s">
        <v>79</v>
      </c>
      <c r="K14" s="32" t="s">
        <v>47</v>
      </c>
      <c r="L14" s="32" t="s">
        <v>48</v>
      </c>
      <c r="M14" s="32" t="s">
        <v>49</v>
      </c>
      <c r="N14" s="32" t="s">
        <v>50</v>
      </c>
      <c r="O14" s="32" t="s">
        <v>51</v>
      </c>
      <c r="P14" s="32" t="s">
        <v>52</v>
      </c>
      <c r="Q14" s="32" t="s">
        <v>53</v>
      </c>
      <c r="R14" s="32" t="s">
        <v>138</v>
      </c>
      <c r="S14" s="1" t="s">
        <v>77</v>
      </c>
      <c r="U14" s="32" t="s">
        <v>134</v>
      </c>
      <c r="V14" s="32" t="s">
        <v>44</v>
      </c>
      <c r="W14" s="32" t="s">
        <v>45</v>
      </c>
      <c r="X14" s="32" t="s">
        <v>79</v>
      </c>
      <c r="Y14" s="32" t="s">
        <v>47</v>
      </c>
      <c r="Z14" s="32" t="s">
        <v>48</v>
      </c>
      <c r="AA14" s="32" t="s">
        <v>49</v>
      </c>
      <c r="AB14" s="32" t="s">
        <v>50</v>
      </c>
      <c r="AC14" s="32" t="s">
        <v>51</v>
      </c>
      <c r="AD14" s="32" t="s">
        <v>52</v>
      </c>
      <c r="AE14"/>
      <c r="AF14" s="58" t="s">
        <v>116</v>
      </c>
      <c r="AG14" s="58" t="s">
        <v>117</v>
      </c>
      <c r="AI14" s="48" t="s">
        <v>94</v>
      </c>
      <c r="AJ14" s="48" t="s">
        <v>95</v>
      </c>
      <c r="AK14" s="48" t="s">
        <v>96</v>
      </c>
      <c r="AL14" s="48" t="s">
        <v>97</v>
      </c>
      <c r="AM14" s="48" t="s">
        <v>160</v>
      </c>
      <c r="AN14" s="43"/>
      <c r="AO14" s="48" t="s">
        <v>98</v>
      </c>
      <c r="AP14" s="48" t="s">
        <v>160</v>
      </c>
      <c r="AQ14" s="48" t="s">
        <v>99</v>
      </c>
      <c r="AS14" s="48" t="s">
        <v>197</v>
      </c>
      <c r="AT14" s="48" t="s">
        <v>172</v>
      </c>
      <c r="AU14" s="48" t="s">
        <v>168</v>
      </c>
      <c r="AV14" s="48" t="s">
        <v>167</v>
      </c>
      <c r="AW14" s="48" t="s">
        <v>169</v>
      </c>
      <c r="AX14" s="48" t="s">
        <v>170</v>
      </c>
      <c r="AY14" s="48" t="s">
        <v>216</v>
      </c>
      <c r="BA14" s="48" t="s">
        <v>197</v>
      </c>
      <c r="BB14" s="48" t="str">
        <f aca="true" t="shared" si="0" ref="BB14:BB36">ES14</f>
        <v>EnFs</v>
      </c>
      <c r="BC14" s="48" t="str">
        <f aca="true" t="shared" si="1" ref="BC14:BC36">EO14</f>
        <v>CaTs</v>
      </c>
      <c r="BD14" s="48" t="str">
        <f>EN14</f>
        <v>Jd</v>
      </c>
      <c r="BE14" s="48" t="str">
        <f>EP14</f>
        <v>CaTi</v>
      </c>
      <c r="BF14" s="48" t="str">
        <f>EQ14</f>
        <v>CrCaTs</v>
      </c>
      <c r="BG14" s="48" t="s">
        <v>216</v>
      </c>
      <c r="BH14" s="48" t="s">
        <v>54</v>
      </c>
      <c r="BJ14" s="48" t="s">
        <v>160</v>
      </c>
      <c r="BK14" s="48" t="s">
        <v>160</v>
      </c>
      <c r="BL14" s="48" t="s">
        <v>99</v>
      </c>
      <c r="BM14" s="48" t="s">
        <v>99</v>
      </c>
      <c r="BN14" s="48" t="s">
        <v>99</v>
      </c>
      <c r="BO14" s="44"/>
      <c r="BP14" s="49" t="s">
        <v>160</v>
      </c>
      <c r="BQ14" s="49" t="s">
        <v>160</v>
      </c>
      <c r="BR14" s="49" t="s">
        <v>82</v>
      </c>
      <c r="BS14" s="49" t="s">
        <v>99</v>
      </c>
      <c r="BT14" s="49" t="s">
        <v>102</v>
      </c>
      <c r="BU14" s="69"/>
      <c r="BV14" s="49" t="s">
        <v>160</v>
      </c>
      <c r="BW14" s="49" t="s">
        <v>160</v>
      </c>
      <c r="BX14" s="50" t="s">
        <v>99</v>
      </c>
      <c r="BY14" s="5"/>
      <c r="BZ14" s="1" t="s">
        <v>134</v>
      </c>
      <c r="CA14" s="1" t="s">
        <v>44</v>
      </c>
      <c r="CB14" s="1" t="s">
        <v>87</v>
      </c>
      <c r="CC14" s="1" t="s">
        <v>46</v>
      </c>
      <c r="CD14" s="1" t="s">
        <v>47</v>
      </c>
      <c r="CE14" s="1" t="s">
        <v>48</v>
      </c>
      <c r="CF14" s="1" t="s">
        <v>49</v>
      </c>
      <c r="CG14" s="1" t="s">
        <v>88</v>
      </c>
      <c r="CH14" s="1" t="s">
        <v>89</v>
      </c>
      <c r="CI14" s="1" t="s">
        <v>90</v>
      </c>
      <c r="CJ14" s="1" t="s">
        <v>91</v>
      </c>
      <c r="CK14" s="1" t="s">
        <v>92</v>
      </c>
      <c r="CM14" s="77" t="s">
        <v>134</v>
      </c>
      <c r="CN14" s="78" t="s">
        <v>44</v>
      </c>
      <c r="CO14" s="78" t="s">
        <v>87</v>
      </c>
      <c r="CP14" s="78" t="s">
        <v>46</v>
      </c>
      <c r="CQ14" s="78" t="s">
        <v>47</v>
      </c>
      <c r="CR14" s="78" t="s">
        <v>48</v>
      </c>
      <c r="CS14" s="78" t="s">
        <v>49</v>
      </c>
      <c r="CT14" s="78" t="s">
        <v>88</v>
      </c>
      <c r="CU14" s="78" t="s">
        <v>89</v>
      </c>
      <c r="CV14" s="78" t="s">
        <v>90</v>
      </c>
      <c r="CW14" s="79" t="s">
        <v>91</v>
      </c>
      <c r="CZ14" s="1" t="s">
        <v>134</v>
      </c>
      <c r="DA14" s="1" t="s">
        <v>44</v>
      </c>
      <c r="DB14" s="1" t="s">
        <v>87</v>
      </c>
      <c r="DC14" s="1" t="s">
        <v>46</v>
      </c>
      <c r="DD14" s="1" t="s">
        <v>47</v>
      </c>
      <c r="DE14" s="1" t="s">
        <v>48</v>
      </c>
      <c r="DF14" s="1" t="s">
        <v>49</v>
      </c>
      <c r="DG14" s="1" t="s">
        <v>88</v>
      </c>
      <c r="DH14" s="1" t="s">
        <v>89</v>
      </c>
      <c r="DI14" s="1" t="s">
        <v>90</v>
      </c>
      <c r="DJ14" s="1" t="s">
        <v>92</v>
      </c>
      <c r="DL14" s="1" t="s">
        <v>134</v>
      </c>
      <c r="DM14" s="1" t="s">
        <v>44</v>
      </c>
      <c r="DN14" s="1" t="s">
        <v>87</v>
      </c>
      <c r="DO14" s="1" t="s">
        <v>46</v>
      </c>
      <c r="DP14" s="1" t="s">
        <v>47</v>
      </c>
      <c r="DQ14" s="1" t="s">
        <v>48</v>
      </c>
      <c r="DR14" s="1" t="s">
        <v>49</v>
      </c>
      <c r="DS14" s="1" t="s">
        <v>88</v>
      </c>
      <c r="DT14" s="1" t="s">
        <v>89</v>
      </c>
      <c r="DU14" s="1" t="s">
        <v>90</v>
      </c>
      <c r="DV14" s="1" t="s">
        <v>216</v>
      </c>
      <c r="DW14" s="1" t="s">
        <v>218</v>
      </c>
      <c r="DY14" s="77" t="s">
        <v>149</v>
      </c>
      <c r="DZ14" s="78" t="s">
        <v>148</v>
      </c>
      <c r="EA14" s="78" t="s">
        <v>163</v>
      </c>
      <c r="EB14" s="78" t="s">
        <v>164</v>
      </c>
      <c r="EC14" s="78" t="s">
        <v>165</v>
      </c>
      <c r="ED14" s="78" t="s">
        <v>147</v>
      </c>
      <c r="EE14" s="78" t="s">
        <v>146</v>
      </c>
      <c r="EF14" s="78" t="s">
        <v>145</v>
      </c>
      <c r="EG14" s="78" t="s">
        <v>144</v>
      </c>
      <c r="EH14" s="78" t="s">
        <v>142</v>
      </c>
      <c r="EI14" s="78" t="s">
        <v>6</v>
      </c>
      <c r="EJ14" s="78" t="s">
        <v>143</v>
      </c>
      <c r="EK14" s="79" t="s">
        <v>216</v>
      </c>
      <c r="EL14" s="1" t="s">
        <v>166</v>
      </c>
      <c r="EM14" s="1" t="s">
        <v>166</v>
      </c>
      <c r="EN14" s="81" t="s">
        <v>167</v>
      </c>
      <c r="EO14" s="82" t="s">
        <v>168</v>
      </c>
      <c r="EP14" s="82" t="s">
        <v>169</v>
      </c>
      <c r="EQ14" s="82" t="s">
        <v>170</v>
      </c>
      <c r="ER14" s="82" t="s">
        <v>171</v>
      </c>
      <c r="ES14" s="82" t="s">
        <v>172</v>
      </c>
      <c r="ET14" s="78" t="s">
        <v>216</v>
      </c>
      <c r="EU14" s="79" t="s">
        <v>173</v>
      </c>
      <c r="EV14" s="1" t="s">
        <v>174</v>
      </c>
      <c r="EW14" s="1" t="s">
        <v>175</v>
      </c>
      <c r="EX14" s="1" t="s">
        <v>175</v>
      </c>
      <c r="EY14" s="1" t="s">
        <v>93</v>
      </c>
      <c r="EZ14" s="1" t="s">
        <v>152</v>
      </c>
      <c r="FA14" s="1" t="s">
        <v>153</v>
      </c>
      <c r="FB14" s="1" t="s">
        <v>100</v>
      </c>
      <c r="FC14" s="5" t="s">
        <v>67</v>
      </c>
      <c r="FD14" s="5" t="s">
        <v>69</v>
      </c>
      <c r="FE14" s="1" t="s">
        <v>160</v>
      </c>
      <c r="FF14" s="83" t="s">
        <v>101</v>
      </c>
      <c r="FI14" s="1" t="s">
        <v>102</v>
      </c>
      <c r="FJ14" s="1" t="s">
        <v>102</v>
      </c>
      <c r="FK14" s="1" t="s">
        <v>103</v>
      </c>
      <c r="FL14" s="1" t="s">
        <v>104</v>
      </c>
      <c r="FM14" s="1" t="s">
        <v>102</v>
      </c>
      <c r="FN14" s="1" t="s">
        <v>105</v>
      </c>
      <c r="FO14" s="1" t="s">
        <v>106</v>
      </c>
      <c r="FP14" s="1" t="s">
        <v>107</v>
      </c>
      <c r="FQ14" s="1" t="s">
        <v>108</v>
      </c>
      <c r="FR14" s="1" t="s">
        <v>39</v>
      </c>
      <c r="FS14" s="1" t="s">
        <v>40</v>
      </c>
      <c r="FT14" s="1" t="s">
        <v>109</v>
      </c>
      <c r="FU14" s="1" t="s">
        <v>110</v>
      </c>
      <c r="FV14" s="1" t="s">
        <v>111</v>
      </c>
      <c r="FW14" s="1" t="s">
        <v>112</v>
      </c>
      <c r="FX14" s="1" t="s">
        <v>113</v>
      </c>
      <c r="FY14" s="1" t="s">
        <v>186</v>
      </c>
      <c r="FZ14" s="1" t="s">
        <v>1</v>
      </c>
      <c r="GA14" s="1" t="s">
        <v>2</v>
      </c>
      <c r="GB14" s="1" t="s">
        <v>3</v>
      </c>
      <c r="GC14" s="1" t="s">
        <v>4</v>
      </c>
      <c r="GD14" s="1" t="s">
        <v>5</v>
      </c>
      <c r="GE14" s="1" t="s">
        <v>6</v>
      </c>
      <c r="GF14" s="1" t="s">
        <v>7</v>
      </c>
      <c r="GG14" s="1" t="s">
        <v>160</v>
      </c>
      <c r="GH14" s="1" t="s">
        <v>160</v>
      </c>
      <c r="GI14" s="1" t="s">
        <v>160</v>
      </c>
      <c r="GJ14" s="1" t="s">
        <v>8</v>
      </c>
      <c r="GK14" s="1" t="s">
        <v>9</v>
      </c>
      <c r="GM14" s="1" t="s">
        <v>10</v>
      </c>
      <c r="GN14" s="1" t="s">
        <v>11</v>
      </c>
      <c r="GO14" s="4" t="s">
        <v>12</v>
      </c>
      <c r="GP14" s="4"/>
      <c r="GQ14" s="7" t="s">
        <v>13</v>
      </c>
      <c r="GR14" s="7" t="s">
        <v>14</v>
      </c>
      <c r="GS14" s="7" t="s">
        <v>15</v>
      </c>
      <c r="GT14" s="7" t="s">
        <v>16</v>
      </c>
      <c r="GU14" s="8" t="s">
        <v>17</v>
      </c>
      <c r="GV14" s="7" t="s">
        <v>18</v>
      </c>
      <c r="GW14" s="7" t="s">
        <v>19</v>
      </c>
      <c r="GX14" s="7" t="s">
        <v>20</v>
      </c>
      <c r="GY14" s="7" t="s">
        <v>21</v>
      </c>
      <c r="GZ14" s="7" t="s">
        <v>22</v>
      </c>
      <c r="HA14" s="7" t="s">
        <v>23</v>
      </c>
      <c r="HB14" s="7" t="s">
        <v>224</v>
      </c>
      <c r="HC14" s="7" t="s">
        <v>225</v>
      </c>
      <c r="HD14" s="7" t="s">
        <v>226</v>
      </c>
      <c r="HE14" s="9" t="s">
        <v>227</v>
      </c>
      <c r="HF14" s="10"/>
      <c r="HG14" s="11" t="s">
        <v>228</v>
      </c>
      <c r="HH14" s="11" t="s">
        <v>229</v>
      </c>
      <c r="HI14" s="11" t="s">
        <v>230</v>
      </c>
      <c r="HJ14" s="11" t="s">
        <v>231</v>
      </c>
      <c r="HK14" s="12" t="s">
        <v>232</v>
      </c>
      <c r="HL14" s="13" t="s">
        <v>233</v>
      </c>
      <c r="HM14" s="13" t="s">
        <v>234</v>
      </c>
      <c r="HN14" s="13" t="s">
        <v>233</v>
      </c>
      <c r="HO14" s="13" t="s">
        <v>235</v>
      </c>
      <c r="HP14" s="13" t="s">
        <v>235</v>
      </c>
      <c r="HQ14" s="12" t="s">
        <v>236</v>
      </c>
      <c r="HR14" s="3" t="s">
        <v>237</v>
      </c>
      <c r="HS14" s="1" t="s">
        <v>238</v>
      </c>
      <c r="HT14" s="8" t="s">
        <v>239</v>
      </c>
      <c r="HU14" s="14" t="s">
        <v>6</v>
      </c>
      <c r="HV14" s="11" t="s">
        <v>5</v>
      </c>
      <c r="HW14" s="3" t="s">
        <v>120</v>
      </c>
      <c r="HX14" s="3" t="s">
        <v>121</v>
      </c>
      <c r="HY14" s="3" t="s">
        <v>122</v>
      </c>
      <c r="HZ14" s="3" t="s">
        <v>123</v>
      </c>
      <c r="IA14" s="3" t="s">
        <v>124</v>
      </c>
      <c r="IB14" s="15" t="s">
        <v>125</v>
      </c>
      <c r="IC14" s="15" t="s">
        <v>126</v>
      </c>
      <c r="ID14" s="3" t="s">
        <v>127</v>
      </c>
      <c r="IE14" s="3" t="s">
        <v>128</v>
      </c>
      <c r="IF14" s="3" t="s">
        <v>129</v>
      </c>
      <c r="IG14" s="15" t="s">
        <v>234</v>
      </c>
      <c r="IH14" s="15" t="s">
        <v>58</v>
      </c>
      <c r="II14" s="3" t="s">
        <v>59</v>
      </c>
      <c r="IJ14" s="3" t="s">
        <v>60</v>
      </c>
      <c r="IK14" s="3" t="s">
        <v>137</v>
      </c>
      <c r="IL14" s="15" t="s">
        <v>235</v>
      </c>
    </row>
    <row r="15" spans="1:249" ht="12.75">
      <c r="A15" s="1" t="s">
        <v>154</v>
      </c>
      <c r="B15" s="86" t="s">
        <v>155</v>
      </c>
      <c r="C15" s="85" t="s">
        <v>157</v>
      </c>
      <c r="G15" s="33">
        <v>50.2</v>
      </c>
      <c r="H15" s="33">
        <v>2.83</v>
      </c>
      <c r="I15" s="33">
        <v>13.74</v>
      </c>
      <c r="J15" s="33">
        <v>11.07</v>
      </c>
      <c r="K15" s="33">
        <v>0.17</v>
      </c>
      <c r="L15" s="33">
        <v>6.6</v>
      </c>
      <c r="M15" s="33">
        <v>10.48</v>
      </c>
      <c r="N15" s="33">
        <v>2.49</v>
      </c>
      <c r="O15" s="33">
        <v>0.57</v>
      </c>
      <c r="P15" s="33">
        <v>0.202</v>
      </c>
      <c r="Q15" s="33">
        <v>0</v>
      </c>
      <c r="R15" s="33">
        <v>0</v>
      </c>
      <c r="S15" s="4">
        <f aca="true" t="shared" si="2" ref="S15:S36">SUM(G15:Q15)</f>
        <v>98.35199999999999</v>
      </c>
      <c r="U15" s="33">
        <v>52.9</v>
      </c>
      <c r="V15" s="33">
        <v>0.7</v>
      </c>
      <c r="W15" s="33">
        <v>2.1</v>
      </c>
      <c r="X15" s="33">
        <v>7.6</v>
      </c>
      <c r="Y15" s="33">
        <v>0</v>
      </c>
      <c r="Z15" s="33">
        <v>17.9</v>
      </c>
      <c r="AA15" s="33">
        <v>18.7</v>
      </c>
      <c r="AB15" s="33">
        <v>0.27</v>
      </c>
      <c r="AC15" s="33">
        <v>0</v>
      </c>
      <c r="AD15" s="33">
        <v>0.2</v>
      </c>
      <c r="AF15" s="53">
        <f>AO15</f>
        <v>1486.8329857937265</v>
      </c>
      <c r="AG15" s="53">
        <f>AP15</f>
        <v>4.994433441332625</v>
      </c>
      <c r="AI15" s="51">
        <f aca="true" t="shared" si="3" ref="AI15:AI36">IF(ABS(EN15)&gt;0,10^4/(6.73-0.26*EW15-0.86*LN(EY15)+0.52*LN(CS15)),0)</f>
        <v>1468.3070352627578</v>
      </c>
      <c r="AJ15" s="51">
        <f aca="true" t="shared" si="4" ref="AJ15:AJ20">IF(AI15&gt;0,AI15-273.15,0)</f>
        <v>1195.1570352627577</v>
      </c>
      <c r="AK15" s="51">
        <f>IF(ABS(EN15)&gt;0,10^4/(6.59-0.16*EW15-0.65*LN(EY15)+0.23*LN(CS15)-0.02*AP15),0)</f>
        <v>1466.1209062830383</v>
      </c>
      <c r="AL15" s="51">
        <f aca="true" t="shared" si="5" ref="AL15:AL21">IF(AK15&gt;0,AK15-273.15,0)</f>
        <v>1192.9709062830384</v>
      </c>
      <c r="AM15" s="51">
        <f aca="true" t="shared" si="6" ref="AM15:AM36">IF(ABS(EN15)&gt;0,-54.3+299*(AF15)/10^4+36.4*(AF15)*EV15/10^4+367*CT15*CO15,0)</f>
        <v>6.07304671138263</v>
      </c>
      <c r="AN15" s="51"/>
      <c r="AO15" s="51">
        <f>IF(ABS(EN15)&gt;0,10^4/(4.6-0.437*EX15-0.654*LN(EY15)-0.326*LN(CT15)-0.92*LN(CM15)+0.274*LN(EN15)-0.00632*AP15),0)</f>
        <v>1486.8329857937265</v>
      </c>
      <c r="AP15" s="51">
        <f>IF(ABS(EN15)&gt;0,-88.3+0.00282*(AO15)*EV15+0.0219*(AO15)-25.1*LN(CS15*CM15)+12.4*LN(CS15)+7.03*EY15,0)</f>
        <v>4.994433441332625</v>
      </c>
      <c r="AQ15" s="51">
        <f>AO15-273.15</f>
        <v>1213.6829857937264</v>
      </c>
      <c r="AR15" s="70"/>
      <c r="AS15" s="90">
        <f aca="true" t="shared" si="7" ref="AS15:AS36">EXP(-9.8+0.24*LN(CS15*(CP15+CR15)*CM15^2)+17558/AF15+8.7*LN(AF15/1670)-4.61*10^3*(ES15^2/AF15))</f>
        <v>0.6043755327312902</v>
      </c>
      <c r="AT15" s="90">
        <f aca="true" t="shared" si="8" ref="AT15:AT36">EXP(-6.96+18438/AF15+8*LN(AF15/1670)+0.66*LN((CP15+CR15)^2*CM15^2)-5.1*10^3*(ER15^2/AF15)+1.81*LN(CM15))</f>
        <v>0.1850663952265928</v>
      </c>
      <c r="AU15" s="90">
        <f aca="true" t="shared" si="9" ref="AU15:AU36">EXP(2.58+0.12*AG15/AF15-9*10^-7*AG15^2/AF15+0.78*LN(CS15*CO15^2*CM15)-4.3*10^3*(ER15^2/AF15))</f>
        <v>0.017622218445952808</v>
      </c>
      <c r="AV15" s="90">
        <f aca="true" t="shared" si="10" ref="AV15:AV36">EXP(-1.06+0.23*AG15/AF15-6*10^-7*AG15^2/AF15+1.02*LN(CT15*CO15*CM15^2)-0.8*LN(CO15)-2.2*LN(CM15))</f>
        <v>0.011214404145282613</v>
      </c>
      <c r="AW15" s="90">
        <f aca="true" t="shared" si="11" ref="AW15:AW36">EXP(5.1+0.52*LN(CS15*CN15*CO15^2)+2.04*10^3*ER15^2/AF15-6.2*CM15+42.5*CT15*CO15-45.1*(CP15+CR15)*CO15)</f>
        <v>0.036553549013713535</v>
      </c>
      <c r="AX15" s="90">
        <f>EXP(12.8)*CS15*CV15^2*CM15</f>
        <v>0.043323202365808514</v>
      </c>
      <c r="AY15" s="51">
        <f>SUM(AS15:AX15)</f>
        <v>0.8981553019286406</v>
      </c>
      <c r="AZ15" s="70"/>
      <c r="BA15" s="90">
        <f aca="true" t="shared" si="12" ref="BA15:BA36">ER15</f>
        <v>0.6938428124784</v>
      </c>
      <c r="BB15" s="90">
        <f t="shared" si="0"/>
        <v>0.2569573432829225</v>
      </c>
      <c r="BC15" s="90">
        <f t="shared" si="1"/>
        <v>0.00503735260359435</v>
      </c>
      <c r="BD15" s="90">
        <f aca="true" t="shared" si="13" ref="BD15:BD36">EN15</f>
        <v>0.01913571790527277</v>
      </c>
      <c r="BE15" s="90">
        <f aca="true" t="shared" si="14" ref="BE15:BE36">EP15</f>
        <v>0.03063035904513086</v>
      </c>
      <c r="BF15" s="90">
        <f aca="true" t="shared" si="15" ref="BF15:BF36">EQ15</f>
        <v>0.002889923955919923</v>
      </c>
      <c r="BG15" s="90">
        <f>SUM(BA15:BF15)</f>
        <v>1.0084935092712404</v>
      </c>
      <c r="BH15" s="90">
        <f>(ED15/EF15)/($BH$9*CP15/CR15)</f>
        <v>0.25313772690799535</v>
      </c>
      <c r="BI15" s="70"/>
      <c r="BJ15" s="51">
        <f aca="true" t="shared" si="16" ref="BJ15:BJ36">-48.7+271.3*AF15/10^4+31.96*(AF15/10^4)*EV15-8.2*LN(CP15)+4.6*LN(CR15)-0.96*LN(CU15)-2.2*LN(EU15)-31*EY15+56.2*(CT15+CU15)+0.76*R15</f>
        <v>4.912700946501566</v>
      </c>
      <c r="BK15" s="51">
        <f>-40.73+358*AF15/10^4+21.7*(AF15/10^4)*EV15-106*CS15-166*(CT15+CU15)^2-50.2*CM15*(CP15+CR15)-3.2*LN(EU15)-2.2*LN(ES15)+0.86*LN(EC15)+0.4*R15</f>
        <v>6.295738839668646</v>
      </c>
      <c r="BL15" s="51">
        <f aca="true" t="shared" si="17" ref="BL15:BL36">-273.15+10^4/(7.53+0.07*R15-1.1*EY15-14.9*CS15*CM15-0.08*LN(CN15)-3.62*(CT15+CU15)-0.18*LN(ES15)-0.026*AG15-0.14*EX15)</f>
        <v>1198.9650231523874</v>
      </c>
      <c r="BM15" s="51">
        <f aca="true" t="shared" si="18" ref="BM15:BM36">-273.15+10^4/(6.39+0.076*R15-5.55*CS15*CM15-0.386*LN(CR15)-0.046*FA15+2.2*10^-4*AG15^2)</f>
        <v>1198.9093782486793</v>
      </c>
      <c r="BN15" s="51">
        <f>-273.15+10^4/(6.39+0.076*R15-5.55*(CS15*CM15)-0.386*LN(CR15)-0.046*AG15+0.00022*AG15^2)</f>
        <v>1198.9093782486793</v>
      </c>
      <c r="BO15" s="51"/>
      <c r="BP15" s="51">
        <f aca="true" t="shared" si="19" ref="BP15:BP36">3205-5.62*EF15+83.2*EH15+68.2*EU15+2.52*LN(EB15)-51.1*EU15^2+34.8*ES15^2+0.384*(AF15)-518*LN(AF15)</f>
        <v>4.009602527237803</v>
      </c>
      <c r="BQ15" s="51">
        <f aca="true" t="shared" si="20" ref="BQ15:BQ36">1458+0.197*(AF15)-241*LN(AF15)+0.453*R15+55.5*EB15+8.05*ED15-277*EI15+18*EN15+44.1*ER15+2.2*LN(EN15)-27.7*EC15^2+97.3*FU15^2+30.7*FW15^2-27.6*ER15^2</f>
        <v>3.9274113414767786</v>
      </c>
      <c r="BR15" s="51">
        <f aca="true" t="shared" si="21" ref="BR15:BR36">-57.9+0.0475*(AF15)-40.6*CP15-47.7*EO15+0.67*R15-153*CS15*CM15+6.89*(EC15/CO15)</f>
        <v>5.05859605515428</v>
      </c>
      <c r="BS15" s="51">
        <f aca="true" t="shared" si="22" ref="BS15:BS36">-273.15+(93100+544*AG15)/(61.1+36.6*DZ15+10.9*ED15-0.95*(EC15+EJ15-EH15-EI15)+0.395*(LN(FF15))^2)</f>
        <v>1198.7785884378732</v>
      </c>
      <c r="BT15" s="71">
        <f>EXP(-0.107-1719/AF15)</f>
        <v>0.28276229420537324</v>
      </c>
      <c r="BV15" s="51">
        <f aca="true" t="shared" si="23" ref="BV15:BV36">698.443+4.985*EA15-26.826*FV15-3.764*EL15+53.989*EB15+3.948*DZ15+14.651*EJ15-700.431*EG15-666.629*EH15-682.848*FW15-691.138*FU15-688.384*EE15-6.267*FW15^2-4.144*FU15^2</f>
        <v>-0.028110168755865587</v>
      </c>
      <c r="BW15" s="51">
        <f aca="true" t="shared" si="24" ref="BW15:BW36">771.48+4.956*EA15-28.756*FV15-5.345*EL15+56.904*EB15+1.848*DZ15+14.827*EJ15-773.74*EG15-736.57*EH15-754.81*FW15-763.2*FU15-759.66*EE15-1.185*FW15^2-1.876*FU15^2</f>
        <v>-0.014557386217596828</v>
      </c>
      <c r="BX15" s="51">
        <f aca="true" t="shared" si="25" ref="BX15:BX36">-273.15+(23166+39.28*AG15)/(13.25+15.35*DZ15+4.5*ED15-1.55*(EC15-EJ15-EH15-EI15)+(LN(HQ15))^2)</f>
        <v>1134.4415953485914</v>
      </c>
      <c r="BY15" s="2"/>
      <c r="BZ15" s="1">
        <f aca="true" t="shared" si="26" ref="BZ15:BZ36">G15/BZ$10</f>
        <v>0.8354927992836731</v>
      </c>
      <c r="CA15" s="1">
        <f aca="true" t="shared" si="27" ref="CA15:CA36">H15/CA$10</f>
        <v>0.035428674441779294</v>
      </c>
      <c r="CB15" s="1">
        <f aca="true" t="shared" si="28" ref="CB15:CB36">I15*2/CB$10</f>
        <v>0.26951481448789244</v>
      </c>
      <c r="CC15" s="1">
        <f aca="true" t="shared" si="29" ref="CC15:CC36">J15/CC$10</f>
        <v>0.15407870122928916</v>
      </c>
      <c r="CD15" s="1">
        <f aca="true" t="shared" si="30" ref="CD15:CD36">K15/CD$10</f>
        <v>0.00239647577092511</v>
      </c>
      <c r="CE15" s="1">
        <f aca="true" t="shared" si="31" ref="CE15:CE36">L15/CE$10</f>
        <v>0.1637538333283711</v>
      </c>
      <c r="CF15" s="1">
        <f aca="true" t="shared" si="32" ref="CF15:CF36">M15/CF$10</f>
        <v>0.18688455598868708</v>
      </c>
      <c r="CG15" s="1">
        <f aca="true" t="shared" si="33" ref="CG15:CG36">N15*2/CG$10</f>
        <v>0.08034992553917543</v>
      </c>
      <c r="CH15" s="1">
        <f aca="true" t="shared" si="34" ref="CH15:CH36">O15*2/CH$10</f>
        <v>0.012102424731411099</v>
      </c>
      <c r="CI15" s="1">
        <f aca="true" t="shared" si="35" ref="CI15:CI36">P15*2/CI$10</f>
        <v>0.002657926212284093</v>
      </c>
      <c r="CJ15" s="1">
        <f aca="true" t="shared" si="36" ref="CJ15:CJ36">Q15*2/CJ$10</f>
        <v>0</v>
      </c>
      <c r="CK15" s="1">
        <f aca="true" t="shared" si="37" ref="CK15:CK20">SUM(BZ15:CJ15)</f>
        <v>1.7426601310134882</v>
      </c>
      <c r="CM15" s="1">
        <f aca="true" t="shared" si="38" ref="CM15:CM36">(BZ15/$CK15)</f>
        <v>0.4794353095102779</v>
      </c>
      <c r="CN15" s="1">
        <f aca="true" t="shared" si="39" ref="CN15:CN36">(CA15/$CK15)</f>
        <v>0.02033022607866449</v>
      </c>
      <c r="CO15" s="1">
        <f aca="true" t="shared" si="40" ref="CO15:CO36">(CB15/$CK15)</f>
        <v>0.15465713003438558</v>
      </c>
      <c r="CP15" s="1">
        <f aca="true" t="shared" si="41" ref="CP15:CP36">(CC15/$CK15)</f>
        <v>0.08841580666660502</v>
      </c>
      <c r="CQ15" s="1">
        <f aca="true" t="shared" si="42" ref="CQ15:CQ36">(CD15/$CK15)</f>
        <v>0.0013751825317374873</v>
      </c>
      <c r="CR15" s="1">
        <f aca="true" t="shared" si="43" ref="CR15:CR36">(CE15/$CK15)</f>
        <v>0.0939677395575326</v>
      </c>
      <c r="CS15" s="1">
        <f aca="true" t="shared" si="44" ref="CS15:CS36">(CF15/$CK15)</f>
        <v>0.10724096607409021</v>
      </c>
      <c r="CT15" s="1">
        <f aca="true" t="shared" si="45" ref="CT15:CT36">(CG15/$CK15)</f>
        <v>0.04610762828001688</v>
      </c>
      <c r="CU15" s="1">
        <f aca="true" t="shared" si="46" ref="CU15:CU36">(CH15/$CK15)</f>
        <v>0.006944799227358594</v>
      </c>
      <c r="CV15" s="1">
        <f aca="true" t="shared" si="47" ref="CV15:CV36">(CI15/$CK15)</f>
        <v>0.0015252120393311052</v>
      </c>
      <c r="CW15" s="1">
        <f aca="true" t="shared" si="48" ref="CW15:CW36">(CJ15/$CK15)</f>
        <v>0</v>
      </c>
      <c r="CX15" s="1">
        <f aca="true" t="shared" si="49" ref="CX15:CX20">SUM(CM15:CW15)</f>
        <v>0.9999999999999998</v>
      </c>
      <c r="CZ15" s="1">
        <f aca="true" t="shared" si="50" ref="CZ15:CZ36">U15/BZ$10</f>
        <v>0.8804296629901655</v>
      </c>
      <c r="DA15" s="1">
        <f aca="true" t="shared" si="51" ref="DA15:DA36">V15/CA$10</f>
        <v>0.008763276363690991</v>
      </c>
      <c r="DB15" s="1">
        <f aca="true" t="shared" si="52" ref="DB15:DB36">W15/CB$10</f>
        <v>0.02059611027745903</v>
      </c>
      <c r="DC15" s="1">
        <f aca="true" t="shared" si="53" ref="DC15:DC36">X15/CC$10</f>
        <v>0.10578122216283627</v>
      </c>
      <c r="DD15" s="1">
        <f aca="true" t="shared" si="54" ref="DD15:DD36">Y15/CD$10</f>
        <v>0</v>
      </c>
      <c r="DE15" s="1">
        <f aca="true" t="shared" si="55" ref="DE15:DE36">Z15/CE$10</f>
        <v>0.4441202449360367</v>
      </c>
      <c r="DF15" s="1">
        <f aca="true" t="shared" si="56" ref="DF15:DF36">AA15/CF$10</f>
        <v>0.33346767146836337</v>
      </c>
      <c r="DG15" s="1">
        <f aca="true" t="shared" si="57" ref="DG15:DG36">AB15/CG$10</f>
        <v>0.004356321264172162</v>
      </c>
      <c r="DH15" s="1">
        <f aca="true" t="shared" si="58" ref="DH15:DH36">AC15/CH$10</f>
        <v>0</v>
      </c>
      <c r="DI15" s="1">
        <f aca="true" t="shared" si="59" ref="DI15:DI36">AD15/CI$10</f>
        <v>0.0013158050555861847</v>
      </c>
      <c r="DJ15" s="1">
        <f aca="true" t="shared" si="60" ref="DJ15:DJ20">SUM(CZ15:DI15)</f>
        <v>1.79883031451831</v>
      </c>
      <c r="DL15" s="1">
        <f aca="true" t="shared" si="61" ref="DL15:DM20">CZ15*2</f>
        <v>1.760859325980331</v>
      </c>
      <c r="DM15" s="1">
        <f t="shared" si="61"/>
        <v>0.017526552727381982</v>
      </c>
      <c r="DN15" s="1">
        <f aca="true" t="shared" si="62" ref="DN15:DN20">DB15*3</f>
        <v>0.061788330832377086</v>
      </c>
      <c r="DO15" s="1">
        <f aca="true" t="shared" si="63" ref="DO15:DT20">DC15</f>
        <v>0.10578122216283627</v>
      </c>
      <c r="DP15" s="1">
        <f t="shared" si="63"/>
        <v>0</v>
      </c>
      <c r="DQ15" s="1">
        <f t="shared" si="63"/>
        <v>0.4441202449360367</v>
      </c>
      <c r="DR15" s="1">
        <f t="shared" si="63"/>
        <v>0.33346767146836337</v>
      </c>
      <c r="DS15" s="1">
        <f t="shared" si="63"/>
        <v>0.004356321264172162</v>
      </c>
      <c r="DT15" s="1">
        <f t="shared" si="63"/>
        <v>0</v>
      </c>
      <c r="DU15" s="1">
        <f aca="true" t="shared" si="64" ref="DU15:DU20">DI15*3</f>
        <v>0.003947415166758554</v>
      </c>
      <c r="DV15" s="1">
        <f aca="true" t="shared" si="65" ref="DV15:DV20">SUM(DL15:DU15)</f>
        <v>2.731847084538257</v>
      </c>
      <c r="DW15" s="1">
        <f aca="true" t="shared" si="66" ref="DW15:DW20">6/DV15</f>
        <v>2.196316197183538</v>
      </c>
      <c r="DY15" s="1">
        <f aca="true" t="shared" si="67" ref="DY15:DY36">CZ15*$DW15</f>
        <v>1.933701929306144</v>
      </c>
      <c r="DZ15" s="1">
        <f aca="true" t="shared" si="68" ref="DZ15:DZ36">DA15*$DW15</f>
        <v>0.01924692581797018</v>
      </c>
      <c r="EA15" s="1">
        <f aca="true" t="shared" si="69" ref="EA15:EA20">2-DY15</f>
        <v>0.06629807069385607</v>
      </c>
      <c r="EB15" s="1">
        <f aca="true" t="shared" si="70" ref="EB15:EB20">IF(EC15-EA15&lt;0,0,EC15-EA15)</f>
        <v>0.02417307050886712</v>
      </c>
      <c r="EC15" s="1">
        <f aca="true" t="shared" si="71" ref="EC15:EC36">DB15*$DW15*2</f>
        <v>0.09047114120272319</v>
      </c>
      <c r="ED15" s="1">
        <f aca="true" t="shared" si="72" ref="ED15:ED36">DC15*$DW15</f>
        <v>0.23232901159410752</v>
      </c>
      <c r="EE15" s="1">
        <f aca="true" t="shared" si="73" ref="EE15:EE36">DD15*$DW15</f>
        <v>0</v>
      </c>
      <c r="EF15" s="1">
        <f aca="true" t="shared" si="74" ref="EF15:EF36">DE15*$DW15</f>
        <v>0.9754284874501375</v>
      </c>
      <c r="EG15" s="1">
        <f aca="true" t="shared" si="75" ref="EG15:EG36">DF15*$DW15</f>
        <v>0.7324004480830452</v>
      </c>
      <c r="EH15" s="1">
        <f aca="true" t="shared" si="76" ref="EH15:EH36">DG15*$DW15*2</f>
        <v>0.01913571790527277</v>
      </c>
      <c r="EI15" s="1">
        <f aca="true" t="shared" si="77" ref="EI15:EI36">DH15*$DW15*2</f>
        <v>0</v>
      </c>
      <c r="EJ15" s="1">
        <f aca="true" t="shared" si="78" ref="EJ15:EJ36">DI15*$DW15*2</f>
        <v>0.005779847911839846</v>
      </c>
      <c r="EK15" s="1">
        <f aca="true" t="shared" si="79" ref="EK15:EK20">DY15+DZ15+EC15+ED15+EE15+EF15+EG15+EH15+EI15+EJ15</f>
        <v>4.00849350927124</v>
      </c>
      <c r="EL15" s="1">
        <f aca="true" t="shared" si="80" ref="EL15:EL20">IF(EH15+EA15-EB15-2*DZ15-EJ15&gt;0,EH15+EA15-EB15-2*DZ15-EJ15,0)</f>
        <v>0.016987018542481518</v>
      </c>
      <c r="EM15" s="1">
        <f aca="true" t="shared" si="81" ref="EM15:EM20">12-48/EK15</f>
        <v>0.025426537680338868</v>
      </c>
      <c r="EN15" s="1">
        <f aca="true" t="shared" si="82" ref="EN15:EN20">IF(EH15&lt;EB15,EH15,EB15)</f>
        <v>0.01913571790527277</v>
      </c>
      <c r="EO15" s="1">
        <f aca="true" t="shared" si="83" ref="EO15:EO20">IF(EB15&gt;EH15,EB15-EH15,0)</f>
        <v>0.00503735260359435</v>
      </c>
      <c r="EP15" s="1">
        <f aca="true" t="shared" si="84" ref="EP15:EP20">IF(EA15&gt;EO15,(EA15-EO15)/2,0)</f>
        <v>0.03063035904513086</v>
      </c>
      <c r="EQ15" s="1">
        <f aca="true" t="shared" si="85" ref="EQ15:EQ20">EJ15/2</f>
        <v>0.002889923955919923</v>
      </c>
      <c r="ER15" s="2">
        <f aca="true" t="shared" si="86" ref="ER15:ER20">IF(EG15-EP15-EO15-EQ15&gt;0,EG15-EP15-EO15-EQ15,0)</f>
        <v>0.6938428124784</v>
      </c>
      <c r="ES15" s="1">
        <f aca="true" t="shared" si="87" ref="ES15:ES20">((ED15+EF15)-ER15)/2</f>
        <v>0.2569573432829225</v>
      </c>
      <c r="ET15" s="1">
        <f aca="true" t="shared" si="88" ref="ET15:ET20">SUM(EN15:ES15)</f>
        <v>1.0084935092712404</v>
      </c>
      <c r="EU15" s="1">
        <f aca="true" t="shared" si="89" ref="EU15:EU20">EG15-EO15-EP15-EQ15</f>
        <v>0.6938428124784</v>
      </c>
      <c r="EV15" s="1">
        <f aca="true" t="shared" si="90" ref="EV15:EV20">LN(EN15/(CM15^2*CT15*CO15))</f>
        <v>2.4574155162025395</v>
      </c>
      <c r="EW15" s="1">
        <f aca="true" t="shared" si="91" ref="EW15:EW20">LN(EN15*CS15*(CP15+CR15)/(ER15*CT15*CO15))</f>
        <v>-2.58168762662179</v>
      </c>
      <c r="EX15" s="1">
        <f aca="true" t="shared" si="92" ref="EX15:EX20">LN((EN15*CS15*(CP15+CR15))/(CT15*CO15*EU15))</f>
        <v>-2.5816876266217896</v>
      </c>
      <c r="EY15" s="1">
        <f aca="true" t="shared" si="93" ref="EY15:EY20">CR15/(CR15+CP15)</f>
        <v>0.5152204872804278</v>
      </c>
      <c r="EZ15" s="84">
        <f>AF15</f>
        <v>1486.8329857937265</v>
      </c>
      <c r="FA15" s="84">
        <f>AG15</f>
        <v>4.994433441332625</v>
      </c>
      <c r="FB15" s="1">
        <f>(EZ15)/10^4</f>
        <v>0.14868329857937265</v>
      </c>
      <c r="FC15" s="2">
        <f aca="true" t="shared" si="94" ref="FC15:FC36">LN(ABS(BJ15-FA15))</f>
        <v>-2.5043036226409146</v>
      </c>
      <c r="FD15" s="2">
        <f aca="true" t="shared" si="95" ref="FD15:FD36">LN(ABS(BM15-EZ15))</f>
        <v>5.662695193370826</v>
      </c>
      <c r="FE15" s="1">
        <f aca="true" t="shared" si="96" ref="FE15:FE36">1458+0.45*R15+0.197*(D15+273.15)-241*LN(D15+273.15)+55.5*EB15+8.05*ED15-276.6*EI15+18.01*EN15+44.09*EU15+2.17*LN(EN15)+97.3*FU15^2+30.38*FW15^2-27.59*EU15^2-17.7*EC15^2</f>
        <v>173.3659567238099</v>
      </c>
      <c r="FF15" s="1">
        <f aca="true" t="shared" si="97" ref="FF15:FF20">(1-EG15-EH15-EI15)*(1-0.5*(EC15+EJ15+EH15+EI15))</f>
        <v>0.23412912220161652</v>
      </c>
      <c r="FG15" s="2"/>
      <c r="FH15" s="2">
        <f aca="true" t="shared" si="98" ref="FH15:FH36">2446.5+0.309*(D15+273.15)-400*LN(D15+273.15)-5.98*EF15-20.5*EH15+112*EN15+61.5*EO15+71.1*EU15+1.66*LN(EU15)-43.5*EU15^2+43*ES15^2-26.2*EC15^2</f>
        <v>313.531082871326</v>
      </c>
      <c r="FI15" s="2">
        <f aca="true" t="shared" si="99" ref="FI15:FI36">EXP(-0.107-1719/(D15+273.15))</f>
        <v>0.0016611494615586205</v>
      </c>
      <c r="FJ15" s="2">
        <f aca="true" t="shared" si="100" ref="FJ15:FJ20">(ED15/EF15)/(CP15/CR15)</f>
        <v>0.25313772690799535</v>
      </c>
      <c r="FK15" s="1">
        <f aca="true" t="shared" si="101" ref="FK15:FK20">EG15+EH15+EE15</f>
        <v>0.751536165988318</v>
      </c>
      <c r="FL15" s="1">
        <f aca="true" t="shared" si="102" ref="FL15:FL20">EB15+DZ15+EJ15+EL15</f>
        <v>0.06618686278115865</v>
      </c>
      <c r="FM15" s="1">
        <f aca="true" t="shared" si="103" ref="FM15:FM20">EXP(0.238*FL15+0.289*FK15-2.3315)</f>
        <v>0.12263368049064868</v>
      </c>
      <c r="FN15" s="1">
        <f aca="true" t="shared" si="104" ref="FN15:FN20">1-DZ15-EB15</f>
        <v>0.9565800036731628</v>
      </c>
      <c r="FO15" s="1">
        <f aca="true" t="shared" si="105" ref="FO15:FO36">(ED15-EL15)+EF15-FN15</f>
        <v>0.23419047682860084</v>
      </c>
      <c r="FP15" s="1">
        <f aca="true" t="shared" si="106" ref="FP15:FP20">ED15-EL15</f>
        <v>0.215341993051626</v>
      </c>
      <c r="FQ15" s="1">
        <f aca="true" t="shared" si="107" ref="FQ15:FQ20">1-FM15</f>
        <v>0.8773663195093513</v>
      </c>
      <c r="FR15" s="1">
        <f aca="true" t="shared" si="108" ref="FR15:FR36">(FM15*EF15)-(FM15*(1-FK15))+FP15+(1-FK15)</f>
        <v>0.5529561781010748</v>
      </c>
      <c r="FS15" s="1">
        <f aca="true" t="shared" si="109" ref="FS15:FS20">-FP15*(1-FK15)</f>
        <v>-0.05350469721732399</v>
      </c>
      <c r="FT15" s="1">
        <f aca="true" t="shared" si="110" ref="FT15:FT20">(-FR15+SQRT(FR15^2-4*FQ15*FS15))/2*FQ15</f>
        <v>0.06561083698599898</v>
      </c>
      <c r="FU15" s="1">
        <f aca="true" t="shared" si="111" ref="FU15:FU20">FT15</f>
        <v>0.06561083698599898</v>
      </c>
      <c r="FV15" s="1">
        <f aca="true" t="shared" si="112" ref="FV15:FV20">FP15-FU15</f>
        <v>0.149731156065627</v>
      </c>
      <c r="FW15" s="1">
        <f aca="true" t="shared" si="113" ref="FW15:FW20">1-FK15-FU15</f>
        <v>0.18285299702568306</v>
      </c>
      <c r="FX15" s="1">
        <f aca="true" t="shared" si="114" ref="FX15:FX36">EF15-FW15</f>
        <v>0.7925754904244545</v>
      </c>
      <c r="FY15" s="1">
        <f aca="true" t="shared" si="115" ref="FY15:FY36">IF(1-FK15&gt;0,EG15,1-EH15-EI15-EE15)</f>
        <v>0.7324004480830452</v>
      </c>
      <c r="FZ15" s="1">
        <f aca="true" t="shared" si="116" ref="FZ15:FZ36">IF(1-FK15&gt;0,EH15,IF(EG15&gt;0,EH15,1-EE15))</f>
        <v>0.01913571790527277</v>
      </c>
      <c r="GA15" s="1">
        <f aca="true" t="shared" si="117" ref="GA15:GA36">11.864*FV15+9.107*EL15-18.375*EB15+11.794*DZ15-1.4925*EJ15+439.97*EG15+419.68*EH15+431.72*FW15+432.56*FU15+428.03*EE15-28.652*FW15^2-12.741*FU15^2</f>
        <v>438.27949251144935</v>
      </c>
      <c r="GB15" s="1">
        <f aca="true" t="shared" si="118" ref="GB15:GB36">-0.3085*EA15+0.813*FV15-0.4173*EL15-2.209*EB15-1.0864*DZ15-0.8001*EJ15+11.931*EG15+11.288*EH15+11.432*FW15+11.885*FU15+12.038*EE15+2.4355*FW15^2-1.661*FU15^2</f>
        <v>11.913972384250096</v>
      </c>
      <c r="GC15" s="1">
        <f aca="true" t="shared" si="119" ref="GC15:GC36">3*(EL15+EB15+EJ15)+2*(FV15+FX15)+4*DZ15</f>
        <v>2.102420807141609</v>
      </c>
      <c r="GD15" s="1">
        <f aca="true" t="shared" si="120" ref="GD15:GD20">32.9*(0.75*GC15/6)*(10^-6)</f>
        <v>8.646205569369866E-06</v>
      </c>
      <c r="GE15" s="1">
        <f aca="true" t="shared" si="121" ref="GE15:GE20">7500*GC15/((1.4133+0.05601*GB15)^3)</f>
        <v>1750.70966468075</v>
      </c>
      <c r="GF15" s="1">
        <f aca="true" t="shared" si="122" ref="GF15:GF36">GB15*((2+3*GD15*(D15-25))/(2-3*GD15*(D15-25))-1)</f>
        <v>-0.007723294933813235</v>
      </c>
      <c r="GG15" s="2">
        <f aca="true" t="shared" si="123" ref="GG15:GG36">-57.9+0.0475*(EZ15+273.15)-40.6*CP15-47.7*EO15+0.67*R15-153*CM15*CS15+6.89*((EA15+EB15)/CO15)</f>
        <v>18.033221055154282</v>
      </c>
      <c r="GH15" s="4">
        <f aca="true" t="shared" si="124" ref="GH15:GH20">IG15</f>
        <v>36.52125658450833</v>
      </c>
      <c r="GI15" s="4">
        <f aca="true" t="shared" si="125" ref="GI15:GI20">IL15</f>
        <v>46.83368076694588</v>
      </c>
      <c r="GJ15" s="4">
        <f aca="true" t="shared" si="126" ref="GJ15:GJ36">N15+O15</f>
        <v>3.06</v>
      </c>
      <c r="GK15" s="4">
        <f aca="true" t="shared" si="127" ref="GK15:GK36">6*10^-5*(G15^3)-0.0166*(G15^2)+1.5751*G15-39.978</f>
        <v>4.849716479999991</v>
      </c>
      <c r="GL15" s="4">
        <f aca="true" t="shared" si="128" ref="GL15:GL20">IF(GJ15&gt;GK15,GI15,GH15)</f>
        <v>36.52125658450833</v>
      </c>
      <c r="GM15" s="1">
        <f aca="true" t="shared" si="129" ref="GM15:GN20">GA15</f>
        <v>438.27949251144935</v>
      </c>
      <c r="GN15" s="1">
        <f t="shared" si="129"/>
        <v>11.913972384250096</v>
      </c>
      <c r="GO15" s="4">
        <f aca="true" t="shared" si="130" ref="GO15:GO20">771.475-(1.323*GM15)-(16.064*GN15)</f>
        <v>0.24517902675896153</v>
      </c>
      <c r="GP15" s="4"/>
      <c r="GQ15" s="7">
        <f aca="true" t="shared" si="131" ref="GQ15:GQ36">FU15+FV15+EE15</f>
        <v>0.215341993051626</v>
      </c>
      <c r="GR15" s="7">
        <f aca="true" t="shared" si="132" ref="GR15:GR20">FW15+FX15</f>
        <v>0.9754284874501375</v>
      </c>
      <c r="GS15" s="7">
        <f aca="true" t="shared" si="133" ref="GS15:GS20">IF(EH15&gt;EL15,EL15,EH15)</f>
        <v>0.016987018542481518</v>
      </c>
      <c r="GT15" s="7">
        <f aca="true" t="shared" si="134" ref="GT15:GT36">EH15-GS15</f>
        <v>0.0021486993627912523</v>
      </c>
      <c r="GU15" s="7">
        <f aca="true" t="shared" si="135" ref="GU15:GU36">EL15-GS15</f>
        <v>0</v>
      </c>
      <c r="GV15" s="7">
        <f aca="true" t="shared" si="136" ref="GV15:GV36">IF(GT15&gt;EB15,EB15,GT15)</f>
        <v>0.0021486993627912523</v>
      </c>
      <c r="GW15" s="7">
        <f aca="true" t="shared" si="137" ref="GW15:GW20">GT15-GV15</f>
        <v>0</v>
      </c>
      <c r="GX15" s="7">
        <f aca="true" t="shared" si="138" ref="GX15:GX36">EB15-GV15</f>
        <v>0.022024371146075868</v>
      </c>
      <c r="GY15" s="7">
        <f aca="true" t="shared" si="139" ref="GY15:GY36">GX15+EJ15+2*DZ15</f>
        <v>0.06629807069385607</v>
      </c>
      <c r="GZ15" s="7">
        <f aca="true" t="shared" si="140" ref="GZ15:GZ20">GQ15/(GQ15+GR15)</f>
        <v>0.18084256922533531</v>
      </c>
      <c r="HA15" s="7">
        <f aca="true" t="shared" si="141" ref="HA15:HA36">(EG15-GY15-GU15)*(1-GZ15)</f>
        <v>0.5456427120950242</v>
      </c>
      <c r="HB15" s="7">
        <f aca="true" t="shared" si="142" ref="HB15:HB36">(EG15-GY15-GU15)*GZ15</f>
        <v>0.12045966529416485</v>
      </c>
      <c r="HC15" s="7">
        <f aca="true" t="shared" si="143" ref="HC15:HC20">(1-GS15-GV15-GU15-GY15-HA15-HB15)*(1-GZ15)</f>
        <v>0.20353099590943222</v>
      </c>
      <c r="HD15" s="7">
        <f aca="true" t="shared" si="144" ref="HD15:HD20">(1-GS15-GV15-GU15-GY15-HA15-HB15)*GZ15</f>
        <v>0.04493283810224983</v>
      </c>
      <c r="HE15" s="7">
        <f aca="true" t="shared" si="145" ref="HE15:HE20">GV15+GS15</f>
        <v>0.01913571790527277</v>
      </c>
      <c r="HF15" s="7"/>
      <c r="HG15" s="16">
        <f aca="true" t="shared" si="146" ref="HG15:HG20">(-0.000000872*HA15)-(0.000000749*HC15)-(0.000000993*HB15)-(0.00000087*(GY15+GU15))-(0.00000086*HE15)-(0.00000087*HD15)</f>
        <v>-8.610892165712784E-07</v>
      </c>
      <c r="HH15" s="16">
        <f aca="true" t="shared" si="147" ref="HH15:HH20">(0.000000000001707*HA15)+(0.000000000000447*HC15)+(0.0000000000014835*HB15)+(0.000000000002171*(GY15+GU15))+(0.000000000002149*HE15)+(0.0000000000002235*HD15)</f>
        <v>1.3961906367522615E-12</v>
      </c>
      <c r="HI15" s="16">
        <f aca="true" t="shared" si="148" ref="HI15:HI20">(0.000027795*HA15)+(0.000024656*HC15)+(0.000031371*HB15)+(0.00002225*(GY15+GU15))+(0.000023118*HE15)+(0.000028232*HD15)</f>
        <v>2.714939506254251E-05</v>
      </c>
      <c r="HJ15" s="16">
        <f aca="true" t="shared" si="149" ref="HJ15:HJ20">(0.0000000083082*HA15)+(0.000000007467*HC15)+(0.0000000083672*HB15)+(0.0000000052863*(GY15+GU15))+(0.0000000025785*HE15)+(0.000000007526*HD15)</f>
        <v>7.798962317818157E-09</v>
      </c>
      <c r="HK15" s="7">
        <f aca="true" t="shared" si="150" ref="HK15:HK20">GC15</f>
        <v>2.102420807141609</v>
      </c>
      <c r="HL15" s="7">
        <f aca="true" t="shared" si="151" ref="HL15:HL36">GM15+GM15*(HG15*(HM15-0.001)+HH15*(HM15-0.001)^2+HI15*(D15-25)+HJ15*(D15-25)^2)</f>
        <v>437.9753320416218</v>
      </c>
      <c r="HM15" s="7">
        <f aca="true" t="shared" si="152" ref="HM15:HM36">HM$8+HM$9*HN15+HM$10*IF15+HM$11*EF15/(EF15+ED15)</f>
        <v>23.37568974460924</v>
      </c>
      <c r="HN15" s="7">
        <f aca="true" t="shared" si="153" ref="HN15:HN36">GM15+GM15*(HG15*(HO15-0.001)+HH15*(HO15-0.001)^2+HI15*(D15-25)+HJ15*(D15-25)^2)</f>
        <v>437.97396067569497</v>
      </c>
      <c r="HO15" s="7">
        <f aca="true" t="shared" si="154" ref="HO15:HO36">HO$8+HO$9*HN15+HO$10*IK15+HO$11*(EF15/(EF15+ED15))</f>
        <v>27.009728329975317</v>
      </c>
      <c r="HP15" s="7">
        <f aca="true" t="shared" si="155" ref="HP15:HP36">IF(GJ15&gt;GK15,HO15,HM15)</f>
        <v>23.37568974460924</v>
      </c>
      <c r="HQ15" s="2">
        <f aca="true" t="shared" si="156" ref="HQ15:HQ20">(1-EG15-EH15-EI15)*(1-0.5*(EC15+EJ15+EH15+EI15))</f>
        <v>0.23412912220161652</v>
      </c>
      <c r="HR15" s="17">
        <f aca="true" t="shared" si="157" ref="HR15:HR36">D15-25</f>
        <v>-25</v>
      </c>
      <c r="HS15" s="17"/>
      <c r="HT15" s="7">
        <f aca="true" t="shared" si="158" ref="HT15:HT20">1.4133+(0.05601*GN15)</f>
        <v>2.080601593241848</v>
      </c>
      <c r="HU15" s="17">
        <f aca="true" t="shared" si="159" ref="HU15:HU36">(7500*HK15)/HT15^3</f>
        <v>1750.70966468075</v>
      </c>
      <c r="HV15" s="16">
        <f aca="true" t="shared" si="160" ref="HV15:HV20">0.0000329*(0.75-HK15/6)</f>
        <v>1.3146725907506845E-05</v>
      </c>
      <c r="HW15" s="1">
        <f aca="true" t="shared" si="161" ref="HW15:HW36">GN15*(((2+3*HV15*HR15)/(2-3*HV15*HR15))-1)</f>
        <v>-0.011741441148829745</v>
      </c>
      <c r="HX15" s="1">
        <f aca="true" t="shared" si="162" ref="HX15:HX20">IF(IB15&gt;0,1000*IB15,0)</f>
        <v>49766.002031554606</v>
      </c>
      <c r="HY15" s="16">
        <f aca="true" t="shared" si="163" ref="HY15:HY36">GM15*(1+(HG15*HX15)+(HH15*HX15^2)+(HI15*HR15)+(HJ15*HR15^2))</f>
        <v>420.718095296868</v>
      </c>
      <c r="HZ15" s="1">
        <f aca="true" t="shared" si="164" ref="HZ15:HZ36">GN15*((((2*HU15)-IB15)/((2*HU15)+IB15))-1)</f>
        <v>-0.3339227432807017</v>
      </c>
      <c r="IA15" s="1">
        <f aca="true" t="shared" si="165" ref="IA15:IA36">GN15+HZ15+HW15</f>
        <v>11.568308199820564</v>
      </c>
      <c r="IB15" s="4">
        <f aca="true" t="shared" si="166" ref="IB15:IB20">654.472-(1.186*HY15)-(9.14*IA15)</f>
        <v>49.766002031554606</v>
      </c>
      <c r="IC15" s="17">
        <f aca="true" t="shared" si="167" ref="IC15:IC20">IF(IG15&gt;0,1000*IG15,0)</f>
        <v>36521.25658450833</v>
      </c>
      <c r="ID15" s="16">
        <f aca="true" t="shared" si="168" ref="ID15:ID36">GM15*(1+(HG15*IC15)+(HH15*IC15*IC15)+(HI15*HR15)+(HJ15*HR15*HR15))</f>
        <v>425.0172959191757</v>
      </c>
      <c r="IE15" s="7">
        <f aca="true" t="shared" si="169" ref="IE15:IE36">GN15*((((2*HU15)-IG15)/((2*HU15)+IG15))-1)</f>
        <v>-0.2459697848597973</v>
      </c>
      <c r="IF15" s="7">
        <f aca="true" t="shared" si="170" ref="IF15:IF36">GN15+IE15+HW15</f>
        <v>11.656261158241469</v>
      </c>
      <c r="IG15" s="4">
        <f aca="true" t="shared" si="171" ref="IG15:IG36">537.003-(1.017*ID15)-(5.663*IF15)-(2.722*(1-GZ15))</f>
        <v>36.52125658450833</v>
      </c>
      <c r="IH15" s="17">
        <f aca="true" t="shared" si="172" ref="IH15:IH20">IF(IL15&gt;0,1000*IL15,0)</f>
        <v>46833.68076694588</v>
      </c>
      <c r="II15" s="4">
        <f aca="true" t="shared" si="173" ref="II15:II36">GM15*(1+(HG15*IH15)+(HH15*IH15*IH15)+(HI15*HR15)+(HJ15*HR15*HR15))</f>
        <v>421.65141298387186</v>
      </c>
      <c r="IJ15" s="7">
        <f aca="true" t="shared" si="174" ref="IJ15:IJ36">GN15*((((2*HU15)-IL15)/((2*HU15)+IL15))-1)</f>
        <v>-0.31450698567291674</v>
      </c>
      <c r="IK15" s="7">
        <f aca="true" t="shared" si="175" ref="IK15:IK36">GN15+IJ15+HW15</f>
        <v>11.587723957428349</v>
      </c>
      <c r="IL15" s="4">
        <f aca="true" t="shared" si="176" ref="IL15:IL36">621.151-(1.22*II15)-(4.62*IK15)-(7.773*(1-GZ15))</f>
        <v>46.83368076694588</v>
      </c>
      <c r="IN15" s="1">
        <f aca="true" t="shared" si="177" ref="IN15:IN36">-57.9+0.67*R15+0.0475*(D15+273.15)-40.6*CP15-152.88*CS15*CM15-47.7*EO15+6.89*EC15/CO15</f>
        <v>-52.585175957356306</v>
      </c>
      <c r="IO15" s="1">
        <f aca="true" t="shared" si="178" ref="IO15:IO36">-149.2-55.87*(CP15+CR15)+47.5*EO15-12.1*LN(CS15*CM15*CO15^2)+566.5*(D15+273.15)/10^4</f>
        <v>-62.595504319832656</v>
      </c>
    </row>
    <row r="16" spans="1:249" ht="12.75">
      <c r="A16" s="1" t="s">
        <v>130</v>
      </c>
      <c r="B16" s="85">
        <v>4</v>
      </c>
      <c r="C16" s="3">
        <v>0.0001</v>
      </c>
      <c r="D16" s="3">
        <v>1095</v>
      </c>
      <c r="F16" s="1">
        <v>3982</v>
      </c>
      <c r="G16" s="33">
        <v>63.6</v>
      </c>
      <c r="H16" s="33">
        <v>1.09</v>
      </c>
      <c r="I16" s="33">
        <v>14.6</v>
      </c>
      <c r="J16" s="33">
        <v>5.81</v>
      </c>
      <c r="K16" s="33">
        <v>0</v>
      </c>
      <c r="L16" s="33">
        <v>1.42</v>
      </c>
      <c r="M16" s="33">
        <v>3.04</v>
      </c>
      <c r="N16" s="33">
        <v>4</v>
      </c>
      <c r="O16" s="33">
        <v>5.11</v>
      </c>
      <c r="P16" s="33">
        <v>0</v>
      </c>
      <c r="Q16" s="33">
        <v>0.34</v>
      </c>
      <c r="R16" s="33">
        <v>0</v>
      </c>
      <c r="S16" s="4">
        <f t="shared" si="2"/>
        <v>99.01</v>
      </c>
      <c r="U16" s="33">
        <v>51.1</v>
      </c>
      <c r="V16" s="33">
        <v>0.49</v>
      </c>
      <c r="W16" s="33">
        <v>1.7</v>
      </c>
      <c r="X16" s="33">
        <v>9.97</v>
      </c>
      <c r="Y16" s="33">
        <v>0</v>
      </c>
      <c r="Z16" s="33">
        <v>14.6</v>
      </c>
      <c r="AA16" s="33">
        <v>20</v>
      </c>
      <c r="AB16" s="33">
        <v>0.43</v>
      </c>
      <c r="AC16" s="33">
        <v>0.1</v>
      </c>
      <c r="AD16" s="33">
        <v>0</v>
      </c>
      <c r="AF16" s="53">
        <f aca="true" t="shared" si="179" ref="AF16:AF36">AI16</f>
        <v>1351.9664277314403</v>
      </c>
      <c r="AG16" s="53">
        <f>AM16</f>
        <v>-2.633834766916327</v>
      </c>
      <c r="AI16" s="51">
        <f t="shared" si="3"/>
        <v>1351.9664277314403</v>
      </c>
      <c r="AJ16" s="51">
        <f t="shared" si="4"/>
        <v>1078.8164277314404</v>
      </c>
      <c r="AK16" s="51">
        <f aca="true" t="shared" si="180" ref="AK16:AK36">IF(ABS(EN16)&gt;0,10^4/(6.59-0.16*EW16-0.65*LN(EY16)+0.23*LN(CS16)-0.02*AG16),0)</f>
        <v>1331.4307119203402</v>
      </c>
      <c r="AL16" s="51">
        <f t="shared" si="5"/>
        <v>1058.2807119203403</v>
      </c>
      <c r="AM16" s="51">
        <f t="shared" si="6"/>
        <v>-2.633834766916327</v>
      </c>
      <c r="AN16" s="51"/>
      <c r="AO16" s="51">
        <f aca="true" t="shared" si="181" ref="AO16:AO36">IF(ABS(EN16)&gt;0,10^4/(4.6-0.437*EX16-0.654*LN(EY16)-0.326*LN(CT16)-0.92*LN(CM16)+0.274*LN(EN16)-0.00632*AG16),0)</f>
        <v>1241.5950444365521</v>
      </c>
      <c r="AP16" s="51">
        <f aca="true" t="shared" si="182" ref="AP16:AP36">IF(ABS(EN16)&gt;0,-88.3+0.00282*(AF16)*EV16+0.0219*(AF16)-25.1*LN(CS16*CM16)+12.4*LN(CS16)+7.03*EY16,0)</f>
        <v>6.001610706339905</v>
      </c>
      <c r="AQ16" s="51">
        <f aca="true" t="shared" si="183" ref="AQ16:AQ36">AO16-273.15</f>
        <v>968.4450444365522</v>
      </c>
      <c r="AR16" s="70"/>
      <c r="AS16" s="90">
        <f t="shared" si="7"/>
        <v>0.6073255182461957</v>
      </c>
      <c r="AT16" s="90">
        <f t="shared" si="8"/>
        <v>0.07868993800135655</v>
      </c>
      <c r="AU16" s="90">
        <f t="shared" si="9"/>
        <v>0.0047897037357153855</v>
      </c>
      <c r="AV16" s="90">
        <f t="shared" si="10"/>
        <v>0.017416477082707618</v>
      </c>
      <c r="AW16" s="90">
        <f t="shared" si="11"/>
        <v>0.020403628607038416</v>
      </c>
      <c r="AX16" s="90">
        <f aca="true" t="shared" si="184" ref="AX16:AX36">EXP(12.8)*CS16*CV16^2*CM16</f>
        <v>0</v>
      </c>
      <c r="AY16" s="51">
        <f aca="true" t="shared" si="185" ref="AY16:AY36">SUM(AS16:AX16)</f>
        <v>0.7286252656730138</v>
      </c>
      <c r="AZ16" s="70"/>
      <c r="BA16" s="90">
        <f t="shared" si="12"/>
        <v>0.7845215494995724</v>
      </c>
      <c r="BB16" s="90">
        <f t="shared" si="0"/>
        <v>0.17947616305060426</v>
      </c>
      <c r="BC16" s="90">
        <f t="shared" si="1"/>
        <v>0</v>
      </c>
      <c r="BD16" s="90">
        <f t="shared" si="13"/>
        <v>0.017164131249049808</v>
      </c>
      <c r="BE16" s="90">
        <f t="shared" si="14"/>
        <v>0.029471320681563995</v>
      </c>
      <c r="BF16" s="90">
        <f t="shared" si="15"/>
        <v>0</v>
      </c>
      <c r="BG16" s="90">
        <f aca="true" t="shared" si="186" ref="BG16:BG36">SUM(BA16:BF16)</f>
        <v>1.0106331644807904</v>
      </c>
      <c r="BH16" s="90">
        <f aca="true" t="shared" si="187" ref="BH16:BH36">(ED16/EF16)/($BH$9*CP16/CR16)</f>
        <v>0.16689929974300338</v>
      </c>
      <c r="BI16" s="70"/>
      <c r="BJ16" s="51">
        <f t="shared" si="16"/>
        <v>2.688537287571564</v>
      </c>
      <c r="BK16" s="51">
        <f aca="true" t="shared" si="188" ref="BK16:BK36">-40.73+358*AF16/10^4+21.7*(AF16/10^4)*EV16-106*CS16-166*(CT16+CU16)^2-50.2*CM16*(CP16+CR16)-3.2*LN(EU16)-2.2*LN(ES16)+0.86*LN(EC16)+0.4*R16</f>
        <v>5.937902227681383</v>
      </c>
      <c r="BL16" s="51">
        <f t="shared" si="17"/>
        <v>978.7242386807917</v>
      </c>
      <c r="BM16" s="51">
        <f t="shared" si="18"/>
        <v>988.9486732181234</v>
      </c>
      <c r="BN16" s="51">
        <f aca="true" t="shared" si="189" ref="BN16:BN36">-273.15+10^4/(6.39+0.076*R16-5.55*CS16*CM16-0.386*LN(CR16)-0.046*FA16+0.00022*AG16^2)</f>
        <v>988.9486732181234</v>
      </c>
      <c r="BO16" s="51"/>
      <c r="BP16" s="51">
        <f t="shared" si="19"/>
        <v>0.6491660085116564</v>
      </c>
      <c r="BQ16" s="51">
        <f t="shared" si="20"/>
        <v>-1.5314822357308895</v>
      </c>
      <c r="BR16" s="51">
        <f t="shared" si="21"/>
        <v>4.909371722955304</v>
      </c>
      <c r="BS16" s="51">
        <f t="shared" si="22"/>
        <v>1104.432734059761</v>
      </c>
      <c r="BT16" s="71">
        <f aca="true" t="shared" si="190" ref="BT16:BT36">EXP(-0.107-1719/AF16)</f>
        <v>0.25196092147566895</v>
      </c>
      <c r="BU16" s="70"/>
      <c r="BV16" s="51">
        <f t="shared" si="23"/>
        <v>-3.4184653212306615</v>
      </c>
      <c r="BW16" s="51">
        <f t="shared" si="24"/>
        <v>-3.7940276523252403</v>
      </c>
      <c r="BX16" s="51">
        <f t="shared" si="25"/>
        <v>962.4962485134528</v>
      </c>
      <c r="BY16" s="2"/>
      <c r="BZ16" s="1">
        <f t="shared" si="26"/>
        <v>1.0585127895307094</v>
      </c>
      <c r="CA16" s="1">
        <f t="shared" si="27"/>
        <v>0.01364567319489026</v>
      </c>
      <c r="CB16" s="1">
        <f t="shared" si="28"/>
        <v>0.28638400957228743</v>
      </c>
      <c r="CC16" s="1">
        <f t="shared" si="29"/>
        <v>0.08086696062711561</v>
      </c>
      <c r="CD16" s="1">
        <f t="shared" si="30"/>
        <v>0</v>
      </c>
      <c r="CE16" s="1">
        <f t="shared" si="31"/>
        <v>0.03523188535246772</v>
      </c>
      <c r="CF16" s="1">
        <f t="shared" si="32"/>
        <v>0.05421078723335961</v>
      </c>
      <c r="CG16" s="1">
        <f t="shared" si="33"/>
        <v>0.1290761856051011</v>
      </c>
      <c r="CH16" s="1">
        <f t="shared" si="34"/>
        <v>0.10849717610089601</v>
      </c>
      <c r="CI16" s="1">
        <f t="shared" si="35"/>
        <v>0</v>
      </c>
      <c r="CJ16" s="1">
        <f t="shared" si="36"/>
        <v>0.004790857915835899</v>
      </c>
      <c r="CK16" s="1">
        <f t="shared" si="37"/>
        <v>1.771216325132663</v>
      </c>
      <c r="CM16" s="1">
        <f t="shared" si="38"/>
        <v>0.5976191470860723</v>
      </c>
      <c r="CN16" s="1">
        <f t="shared" si="39"/>
        <v>0.007704125691066115</v>
      </c>
      <c r="CO16" s="1">
        <f t="shared" si="40"/>
        <v>0.16168776535572946</v>
      </c>
      <c r="CP16" s="1">
        <f t="shared" si="41"/>
        <v>0.045656173940841885</v>
      </c>
      <c r="CQ16" s="1">
        <f t="shared" si="42"/>
        <v>0</v>
      </c>
      <c r="CR16" s="1">
        <f t="shared" si="43"/>
        <v>0.019891350848874362</v>
      </c>
      <c r="CS16" s="1">
        <f t="shared" si="44"/>
        <v>0.030606530926875496</v>
      </c>
      <c r="CT16" s="1">
        <f t="shared" si="45"/>
        <v>0.0728743201909193</v>
      </c>
      <c r="CU16" s="1">
        <f t="shared" si="46"/>
        <v>0.06125574530980548</v>
      </c>
      <c r="CV16" s="1">
        <f t="shared" si="47"/>
        <v>0</v>
      </c>
      <c r="CW16" s="1">
        <f t="shared" si="48"/>
        <v>0.0027048406498156384</v>
      </c>
      <c r="CX16" s="1">
        <f t="shared" si="49"/>
        <v>1.0000000000000002</v>
      </c>
      <c r="CZ16" s="1">
        <f t="shared" si="50"/>
        <v>0.850471753852504</v>
      </c>
      <c r="DA16" s="1">
        <f t="shared" si="51"/>
        <v>0.006134293454583694</v>
      </c>
      <c r="DB16" s="1">
        <f t="shared" si="52"/>
        <v>0.016673041653181116</v>
      </c>
      <c r="DC16" s="1">
        <f t="shared" si="53"/>
        <v>0.13876826117940497</v>
      </c>
      <c r="DD16" s="1">
        <f t="shared" si="54"/>
        <v>0</v>
      </c>
      <c r="DE16" s="1">
        <f t="shared" si="55"/>
        <v>0.3622433282718512</v>
      </c>
      <c r="DF16" s="1">
        <f t="shared" si="56"/>
        <v>0.3566499160089448</v>
      </c>
      <c r="DG16" s="1">
        <f t="shared" si="57"/>
        <v>0.006937844976274183</v>
      </c>
      <c r="DH16" s="1">
        <f t="shared" si="58"/>
        <v>0.0010616162045097458</v>
      </c>
      <c r="DI16" s="1">
        <f t="shared" si="59"/>
        <v>0</v>
      </c>
      <c r="DJ16" s="1">
        <f t="shared" si="60"/>
        <v>1.7389400556012538</v>
      </c>
      <c r="DL16" s="1">
        <f t="shared" si="61"/>
        <v>1.700943507705008</v>
      </c>
      <c r="DM16" s="1">
        <f t="shared" si="61"/>
        <v>0.012268586909167389</v>
      </c>
      <c r="DN16" s="1">
        <f t="shared" si="62"/>
        <v>0.050019124959543346</v>
      </c>
      <c r="DO16" s="1">
        <f t="shared" si="63"/>
        <v>0.13876826117940497</v>
      </c>
      <c r="DP16" s="1">
        <f t="shared" si="63"/>
        <v>0</v>
      </c>
      <c r="DQ16" s="1">
        <f t="shared" si="63"/>
        <v>0.3622433282718512</v>
      </c>
      <c r="DR16" s="1">
        <f t="shared" si="63"/>
        <v>0.3566499160089448</v>
      </c>
      <c r="DS16" s="1">
        <f t="shared" si="63"/>
        <v>0.006937844976274183</v>
      </c>
      <c r="DT16" s="1">
        <f t="shared" si="63"/>
        <v>0.0010616162045097458</v>
      </c>
      <c r="DU16" s="1">
        <f t="shared" si="64"/>
        <v>0</v>
      </c>
      <c r="DV16" s="1">
        <f t="shared" si="65"/>
        <v>2.628892186214703</v>
      </c>
      <c r="DW16" s="1">
        <f t="shared" si="66"/>
        <v>2.282330188914783</v>
      </c>
      <c r="DY16" s="1">
        <f t="shared" si="67"/>
        <v>1.941057358636872</v>
      </c>
      <c r="DZ16" s="1">
        <f t="shared" si="68"/>
        <v>0.014000483139058719</v>
      </c>
      <c r="EA16" s="1">
        <f t="shared" si="69"/>
        <v>0.05894264136312799</v>
      </c>
      <c r="EB16" s="1">
        <f t="shared" si="70"/>
        <v>0.017164131249049808</v>
      </c>
      <c r="EC16" s="1">
        <f t="shared" si="71"/>
        <v>0.0761067726121778</v>
      </c>
      <c r="ED16" s="1">
        <f t="shared" si="72"/>
        <v>0.31671499175296725</v>
      </c>
      <c r="EE16" s="1">
        <f t="shared" si="73"/>
        <v>0</v>
      </c>
      <c r="EF16" s="1">
        <f t="shared" si="74"/>
        <v>0.8267588838478138</v>
      </c>
      <c r="EG16" s="1">
        <f t="shared" si="75"/>
        <v>0.8139928701811364</v>
      </c>
      <c r="EH16" s="1">
        <f t="shared" si="76"/>
        <v>0.03166890607072267</v>
      </c>
      <c r="EI16" s="1">
        <f t="shared" si="77"/>
        <v>0.004845917425187446</v>
      </c>
      <c r="EJ16" s="1">
        <f t="shared" si="78"/>
        <v>0</v>
      </c>
      <c r="EK16" s="1">
        <f t="shared" si="79"/>
        <v>4.025146183665936</v>
      </c>
      <c r="EL16" s="1">
        <f t="shared" si="80"/>
        <v>0.04544644990668342</v>
      </c>
      <c r="EM16" s="1">
        <f t="shared" si="81"/>
        <v>0.07496726583887892</v>
      </c>
      <c r="EN16" s="1">
        <f t="shared" si="82"/>
        <v>0.017164131249049808</v>
      </c>
      <c r="EO16" s="1">
        <f t="shared" si="83"/>
        <v>0</v>
      </c>
      <c r="EP16" s="1">
        <f t="shared" si="84"/>
        <v>0.029471320681563995</v>
      </c>
      <c r="EQ16" s="1">
        <f t="shared" si="85"/>
        <v>0</v>
      </c>
      <c r="ER16" s="2">
        <f t="shared" si="86"/>
        <v>0.7845215494995724</v>
      </c>
      <c r="ES16" s="1">
        <f t="shared" si="87"/>
        <v>0.17947616305060426</v>
      </c>
      <c r="ET16" s="1">
        <f t="shared" si="88"/>
        <v>1.0106331644807904</v>
      </c>
      <c r="EU16" s="1">
        <f t="shared" si="89"/>
        <v>0.7845215494995724</v>
      </c>
      <c r="EV16" s="1">
        <f t="shared" si="90"/>
        <v>1.4057768869496283</v>
      </c>
      <c r="EW16" s="1">
        <f t="shared" si="91"/>
        <v>-5.592666780309804</v>
      </c>
      <c r="EX16" s="1">
        <f t="shared" si="92"/>
        <v>-5.592666780309804</v>
      </c>
      <c r="EY16" s="1">
        <f t="shared" si="93"/>
        <v>0.30346456121246423</v>
      </c>
      <c r="EZ16" s="84">
        <f aca="true" t="shared" si="191" ref="EZ16:EZ36">AF16</f>
        <v>1351.9664277314403</v>
      </c>
      <c r="FA16" s="84">
        <f aca="true" t="shared" si="192" ref="FA16:FA35">AG16</f>
        <v>-2.633834766916327</v>
      </c>
      <c r="FB16" s="1">
        <f aca="true" t="shared" si="193" ref="FB16:FB36">(EZ16)/10^4</f>
        <v>0.13519664277314403</v>
      </c>
      <c r="FC16" s="2">
        <f t="shared" si="94"/>
        <v>1.6719190788846146</v>
      </c>
      <c r="FD16" s="2">
        <f t="shared" si="95"/>
        <v>5.894451743573776</v>
      </c>
      <c r="FE16" s="1">
        <f t="shared" si="96"/>
        <v>-1.0338804138140254</v>
      </c>
      <c r="FF16" s="1">
        <f t="shared" si="97"/>
        <v>0.14107427525096836</v>
      </c>
      <c r="FG16" s="2"/>
      <c r="FH16" s="2">
        <f t="shared" si="98"/>
        <v>6.938461209132639</v>
      </c>
      <c r="FI16" s="2">
        <f t="shared" si="99"/>
        <v>0.25577907900994523</v>
      </c>
      <c r="FJ16" s="2">
        <f t="shared" si="100"/>
        <v>0.16689929974300338</v>
      </c>
      <c r="FK16" s="1">
        <f t="shared" si="101"/>
        <v>0.8456617762518591</v>
      </c>
      <c r="FL16" s="1">
        <f t="shared" si="102"/>
        <v>0.07661106429479195</v>
      </c>
      <c r="FM16" s="1">
        <f t="shared" si="103"/>
        <v>0.12632841264562134</v>
      </c>
      <c r="FN16" s="1">
        <f t="shared" si="104"/>
        <v>0.9688353856118914</v>
      </c>
      <c r="FO16" s="1">
        <f t="shared" si="105"/>
        <v>0.1291920400822062</v>
      </c>
      <c r="FP16" s="1">
        <f t="shared" si="106"/>
        <v>0.2712685418462838</v>
      </c>
      <c r="FQ16" s="1">
        <f t="shared" si="107"/>
        <v>0.8736715873543787</v>
      </c>
      <c r="FR16" s="1">
        <f t="shared" si="108"/>
        <v>0.5105526002149372</v>
      </c>
      <c r="FS16" s="1">
        <f t="shared" si="109"/>
        <v>-0.041867104907303665</v>
      </c>
      <c r="FT16" s="1">
        <f t="shared" si="110"/>
        <v>0.0556504278466157</v>
      </c>
      <c r="FU16" s="1">
        <f t="shared" si="111"/>
        <v>0.0556504278466157</v>
      </c>
      <c r="FV16" s="1">
        <f t="shared" si="112"/>
        <v>0.2156181139996681</v>
      </c>
      <c r="FW16" s="1">
        <f t="shared" si="113"/>
        <v>0.09868779590152518</v>
      </c>
      <c r="FX16" s="1">
        <f t="shared" si="114"/>
        <v>0.7280710879462886</v>
      </c>
      <c r="FY16" s="1">
        <f t="shared" si="115"/>
        <v>0.8139928701811364</v>
      </c>
      <c r="FZ16" s="1">
        <f t="shared" si="116"/>
        <v>0.03166890607072267</v>
      </c>
      <c r="GA16" s="1">
        <f t="shared" si="117"/>
        <v>440.604090442306</v>
      </c>
      <c r="GB16" s="1">
        <f t="shared" si="118"/>
        <v>11.962430942677324</v>
      </c>
      <c r="GC16" s="1">
        <f t="shared" si="119"/>
        <v>2.1312120799153482</v>
      </c>
      <c r="GD16" s="1">
        <f t="shared" si="120"/>
        <v>8.76460967865187E-06</v>
      </c>
      <c r="GE16" s="1">
        <f t="shared" si="121"/>
        <v>1767.757288730159</v>
      </c>
      <c r="GF16" s="1">
        <f t="shared" si="122"/>
        <v>0.3413577289903673</v>
      </c>
      <c r="GG16" s="2">
        <f t="shared" si="123"/>
        <v>17.88399672295531</v>
      </c>
      <c r="GH16" s="4">
        <f t="shared" si="124"/>
        <v>-1.080011544202447</v>
      </c>
      <c r="GI16" s="4">
        <f t="shared" si="125"/>
        <v>-0.5940357063791719</v>
      </c>
      <c r="GJ16" s="4">
        <f t="shared" si="126"/>
        <v>9.11</v>
      </c>
      <c r="GK16" s="4">
        <f t="shared" si="127"/>
        <v>8.487591359999996</v>
      </c>
      <c r="GL16" s="4">
        <f t="shared" si="128"/>
        <v>-0.5940357063791719</v>
      </c>
      <c r="GM16" s="1">
        <f t="shared" si="129"/>
        <v>440.604090442306</v>
      </c>
      <c r="GN16" s="1">
        <f t="shared" si="129"/>
        <v>11.962430942677324</v>
      </c>
      <c r="GO16" s="4">
        <f t="shared" si="130"/>
        <v>-3.608702318339283</v>
      </c>
      <c r="GP16" s="4"/>
      <c r="GQ16" s="7">
        <f t="shared" si="131"/>
        <v>0.2712685418462838</v>
      </c>
      <c r="GR16" s="7">
        <f t="shared" si="132"/>
        <v>0.8267588838478138</v>
      </c>
      <c r="GS16" s="7">
        <f t="shared" si="133"/>
        <v>0.03166890607072267</v>
      </c>
      <c r="GT16" s="7">
        <f t="shared" si="134"/>
        <v>0</v>
      </c>
      <c r="GU16" s="7">
        <f t="shared" si="135"/>
        <v>0.013777543835960755</v>
      </c>
      <c r="GV16" s="7">
        <f t="shared" si="136"/>
        <v>0</v>
      </c>
      <c r="GW16" s="7">
        <f t="shared" si="137"/>
        <v>0</v>
      </c>
      <c r="GX16" s="7">
        <f t="shared" si="138"/>
        <v>0.017164131249049808</v>
      </c>
      <c r="GY16" s="7">
        <f t="shared" si="139"/>
        <v>0.04516509752716724</v>
      </c>
      <c r="GZ16" s="7">
        <f t="shared" si="140"/>
        <v>0.24705078898626456</v>
      </c>
      <c r="HA16" s="7">
        <f t="shared" si="141"/>
        <v>0.5685144740642599</v>
      </c>
      <c r="HB16" s="7">
        <f t="shared" si="142"/>
        <v>0.18653575475374856</v>
      </c>
      <c r="HC16" s="7">
        <f t="shared" si="143"/>
        <v>0.116208843800424</v>
      </c>
      <c r="HD16" s="7">
        <f t="shared" si="144"/>
        <v>0.03812937994771683</v>
      </c>
      <c r="HE16" s="7">
        <f t="shared" si="145"/>
        <v>0.03166890607072267</v>
      </c>
      <c r="HF16" s="7"/>
      <c r="HG16" s="16">
        <f t="shared" si="146"/>
        <v>-8.79702967622281E-07</v>
      </c>
      <c r="HH16" s="16">
        <f t="shared" si="147"/>
        <v>1.5036682225473158E-12</v>
      </c>
      <c r="HI16" s="16">
        <f t="shared" si="148"/>
        <v>2.763898241729571E-05</v>
      </c>
      <c r="HJ16" s="16">
        <f t="shared" si="149"/>
        <v>7.832053830081794E-09</v>
      </c>
      <c r="HK16" s="7">
        <f t="shared" si="150"/>
        <v>2.1312120799153482</v>
      </c>
      <c r="HL16" s="7">
        <f t="shared" si="151"/>
        <v>457.58563698378185</v>
      </c>
      <c r="HM16" s="7">
        <f t="shared" si="152"/>
        <v>-0.9986976436824904</v>
      </c>
      <c r="HN16" s="7">
        <f t="shared" si="153"/>
        <v>457.5853900426656</v>
      </c>
      <c r="HO16" s="7">
        <f t="shared" si="154"/>
        <v>-0.36159733734336097</v>
      </c>
      <c r="HP16" s="7">
        <f t="shared" si="155"/>
        <v>-0.36159733734336097</v>
      </c>
      <c r="HQ16" s="2">
        <f t="shared" si="156"/>
        <v>0.14107427525096836</v>
      </c>
      <c r="HR16" s="17">
        <f t="shared" si="157"/>
        <v>1070</v>
      </c>
      <c r="HS16" s="17"/>
      <c r="HT16" s="7">
        <f t="shared" si="158"/>
        <v>2.083315757099357</v>
      </c>
      <c r="HU16" s="17">
        <f t="shared" si="159"/>
        <v>1767.757288730159</v>
      </c>
      <c r="HV16" s="16">
        <f t="shared" si="160"/>
        <v>1.2988853761797508E-05</v>
      </c>
      <c r="HW16" s="1">
        <f t="shared" si="161"/>
        <v>0.5093834063934205</v>
      </c>
      <c r="HX16" s="1">
        <f t="shared" si="162"/>
        <v>0</v>
      </c>
      <c r="HY16" s="16">
        <f t="shared" si="163"/>
        <v>457.58524949958735</v>
      </c>
      <c r="HZ16" s="1">
        <f t="shared" si="164"/>
        <v>0.015999256799706776</v>
      </c>
      <c r="IA16" s="1">
        <f t="shared" si="165"/>
        <v>12.487813605870452</v>
      </c>
      <c r="IB16" s="4">
        <f t="shared" si="166"/>
        <v>-2.3627222641664787</v>
      </c>
      <c r="IC16" s="17">
        <f t="shared" si="167"/>
        <v>0</v>
      </c>
      <c r="ID16" s="16">
        <f t="shared" si="168"/>
        <v>457.58524949958735</v>
      </c>
      <c r="IE16" s="7">
        <f t="shared" si="169"/>
        <v>0.007310681962769961</v>
      </c>
      <c r="IF16" s="7">
        <f t="shared" si="170"/>
        <v>12.479125031033513</v>
      </c>
      <c r="IG16" s="4">
        <f t="shared" si="171"/>
        <v>-1.080011544202447</v>
      </c>
      <c r="IH16" s="17">
        <f t="shared" si="172"/>
        <v>0</v>
      </c>
      <c r="II16" s="4">
        <f t="shared" si="173"/>
        <v>457.58524949958735</v>
      </c>
      <c r="IJ16" s="7">
        <f t="shared" si="174"/>
        <v>0.0040205209882999806</v>
      </c>
      <c r="IK16" s="7">
        <f t="shared" si="175"/>
        <v>12.475834870059044</v>
      </c>
      <c r="IL16" s="4">
        <f t="shared" si="176"/>
        <v>-0.5940357063791719</v>
      </c>
      <c r="IN16" s="1">
        <f t="shared" si="177"/>
        <v>5.6802863315808345</v>
      </c>
      <c r="IO16" s="1">
        <f t="shared" si="178"/>
        <v>17.15434717572475</v>
      </c>
    </row>
    <row r="17" spans="1:249" ht="12.75">
      <c r="A17" s="1" t="s">
        <v>130</v>
      </c>
      <c r="B17" s="85">
        <v>11</v>
      </c>
      <c r="C17" s="3">
        <v>0.0001</v>
      </c>
      <c r="D17" s="3">
        <v>1060</v>
      </c>
      <c r="F17" s="1">
        <v>3983</v>
      </c>
      <c r="G17" s="33">
        <v>66.2</v>
      </c>
      <c r="H17" s="33">
        <v>0.7</v>
      </c>
      <c r="I17" s="33">
        <v>14.7</v>
      </c>
      <c r="J17" s="33">
        <v>4.94</v>
      </c>
      <c r="K17" s="33">
        <v>0</v>
      </c>
      <c r="L17" s="33">
        <v>0.78</v>
      </c>
      <c r="M17" s="33">
        <v>1.98</v>
      </c>
      <c r="N17" s="33">
        <v>3.71</v>
      </c>
      <c r="O17" s="33">
        <v>5.19</v>
      </c>
      <c r="P17" s="33">
        <v>0</v>
      </c>
      <c r="Q17" s="33">
        <v>0.26</v>
      </c>
      <c r="R17" s="33">
        <v>0</v>
      </c>
      <c r="S17" s="4">
        <f t="shared" si="2"/>
        <v>98.46000000000001</v>
      </c>
      <c r="U17" s="33">
        <v>51.5</v>
      </c>
      <c r="V17" s="33">
        <v>0.52</v>
      </c>
      <c r="W17" s="33">
        <v>1.98</v>
      </c>
      <c r="X17" s="33">
        <v>11.2</v>
      </c>
      <c r="Y17" s="33">
        <v>0</v>
      </c>
      <c r="Z17" s="33">
        <v>14.5</v>
      </c>
      <c r="AA17" s="33">
        <v>19.3</v>
      </c>
      <c r="AB17" s="33">
        <v>0.33</v>
      </c>
      <c r="AC17" s="33">
        <v>0</v>
      </c>
      <c r="AD17" s="33">
        <v>0</v>
      </c>
      <c r="AF17" s="53">
        <f t="shared" si="179"/>
        <v>1329.675419889998</v>
      </c>
      <c r="AG17" s="53">
        <f aca="true" t="shared" si="194" ref="AG17:AG36">AM17</f>
        <v>-2.2109848262767198</v>
      </c>
      <c r="AI17" s="51">
        <f t="shared" si="3"/>
        <v>1329.675419889998</v>
      </c>
      <c r="AJ17" s="51">
        <f t="shared" si="4"/>
        <v>1056.525419889998</v>
      </c>
      <c r="AK17" s="51">
        <f t="shared" si="180"/>
        <v>1306.2649466718085</v>
      </c>
      <c r="AL17" s="51">
        <f t="shared" si="5"/>
        <v>1033.1149466718084</v>
      </c>
      <c r="AM17" s="51">
        <f t="shared" si="6"/>
        <v>-2.2109848262767198</v>
      </c>
      <c r="AN17" s="51"/>
      <c r="AO17" s="51">
        <f t="shared" si="181"/>
        <v>1184.6836921330148</v>
      </c>
      <c r="AP17" s="51">
        <f t="shared" si="182"/>
        <v>10.045945177193586</v>
      </c>
      <c r="AQ17" s="51">
        <f t="shared" si="183"/>
        <v>911.5336921330148</v>
      </c>
      <c r="AR17" s="70"/>
      <c r="AS17" s="90">
        <f t="shared" si="7"/>
        <v>0.5432133680222888</v>
      </c>
      <c r="AT17" s="90">
        <f t="shared" si="8"/>
        <v>0.08492517396589079</v>
      </c>
      <c r="AU17" s="90">
        <f t="shared" si="9"/>
        <v>0.004277686863823093</v>
      </c>
      <c r="AV17" s="90">
        <f t="shared" si="10"/>
        <v>0.01620291531331285</v>
      </c>
      <c r="AW17" s="90">
        <f t="shared" si="11"/>
        <v>0.011152476846177569</v>
      </c>
      <c r="AX17" s="90">
        <f t="shared" si="184"/>
        <v>0</v>
      </c>
      <c r="AY17" s="51">
        <f t="shared" si="185"/>
        <v>0.6597716210114932</v>
      </c>
      <c r="AZ17" s="70"/>
      <c r="BA17" s="90">
        <f t="shared" si="12"/>
        <v>0.7471427093486772</v>
      </c>
      <c r="BB17" s="90">
        <f t="shared" si="0"/>
        <v>0.21003456749130195</v>
      </c>
      <c r="BC17" s="90">
        <f t="shared" si="1"/>
        <v>0.003982881772107663</v>
      </c>
      <c r="BD17" s="90">
        <f t="shared" si="13"/>
        <v>0.024104296471233924</v>
      </c>
      <c r="BE17" s="90">
        <f t="shared" si="14"/>
        <v>0.02792171170413462</v>
      </c>
      <c r="BF17" s="90">
        <f t="shared" si="15"/>
        <v>0</v>
      </c>
      <c r="BG17" s="90">
        <f t="shared" si="186"/>
        <v>1.0131861667874553</v>
      </c>
      <c r="BH17" s="90">
        <f t="shared" si="187"/>
        <v>0.12196007259528134</v>
      </c>
      <c r="BI17" s="70"/>
      <c r="BJ17" s="51">
        <f t="shared" si="16"/>
        <v>4.275478915469041</v>
      </c>
      <c r="BK17" s="51">
        <f t="shared" si="188"/>
        <v>7.490990984487406</v>
      </c>
      <c r="BL17" s="51">
        <f t="shared" si="17"/>
        <v>945.4048494047112</v>
      </c>
      <c r="BM17" s="51">
        <f t="shared" si="18"/>
        <v>951.9196281384158</v>
      </c>
      <c r="BN17" s="51">
        <f t="shared" si="189"/>
        <v>951.9196281384158</v>
      </c>
      <c r="BO17" s="51"/>
      <c r="BP17" s="51">
        <f t="shared" si="19"/>
        <v>2.1733163977251024</v>
      </c>
      <c r="BQ17" s="51">
        <f t="shared" si="20"/>
        <v>1.4570558888701015</v>
      </c>
      <c r="BR17" s="51">
        <f t="shared" si="21"/>
        <v>5.237842261295036</v>
      </c>
      <c r="BS17" s="51">
        <f t="shared" si="22"/>
        <v>1107.855626783506</v>
      </c>
      <c r="BT17" s="71">
        <f t="shared" si="190"/>
        <v>0.24664710125564626</v>
      </c>
      <c r="BU17" s="70"/>
      <c r="BV17" s="51">
        <f t="shared" si="23"/>
        <v>-3.4786132881942082</v>
      </c>
      <c r="BW17" s="51">
        <f t="shared" si="24"/>
        <v>-3.8040399409498464</v>
      </c>
      <c r="BX17" s="51">
        <f t="shared" si="25"/>
        <v>1023.6116460452016</v>
      </c>
      <c r="BY17" s="2"/>
      <c r="BZ17" s="1">
        <f t="shared" si="26"/>
        <v>1.1017853249517762</v>
      </c>
      <c r="CA17" s="1">
        <f t="shared" si="27"/>
        <v>0.008763276363690991</v>
      </c>
      <c r="CB17" s="1">
        <f t="shared" si="28"/>
        <v>0.2883455438844264</v>
      </c>
      <c r="CC17" s="1">
        <f t="shared" si="29"/>
        <v>0.06875779440584358</v>
      </c>
      <c r="CD17" s="1">
        <f t="shared" si="30"/>
        <v>0</v>
      </c>
      <c r="CE17" s="1">
        <f t="shared" si="31"/>
        <v>0.019352725756989313</v>
      </c>
      <c r="CF17" s="1">
        <f t="shared" si="32"/>
        <v>0.03530834168488554</v>
      </c>
      <c r="CG17" s="1">
        <f t="shared" si="33"/>
        <v>0.11971816214873125</v>
      </c>
      <c r="CH17" s="1">
        <f t="shared" si="34"/>
        <v>0.11019576202811161</v>
      </c>
      <c r="CI17" s="1">
        <f t="shared" si="35"/>
        <v>0</v>
      </c>
      <c r="CJ17" s="1">
        <f t="shared" si="36"/>
        <v>0.003663597229756864</v>
      </c>
      <c r="CK17" s="1">
        <f t="shared" si="37"/>
        <v>1.7558905284542117</v>
      </c>
      <c r="CM17" s="1">
        <f t="shared" si="38"/>
        <v>0.6274795080315894</v>
      </c>
      <c r="CN17" s="1">
        <f t="shared" si="39"/>
        <v>0.004990787421927546</v>
      </c>
      <c r="CO17" s="1">
        <f t="shared" si="40"/>
        <v>0.16421612806253347</v>
      </c>
      <c r="CP17" s="1">
        <f t="shared" si="41"/>
        <v>0.03915836055358993</v>
      </c>
      <c r="CQ17" s="1">
        <f t="shared" si="42"/>
        <v>0</v>
      </c>
      <c r="CR17" s="1">
        <f t="shared" si="43"/>
        <v>0.011021601542566766</v>
      </c>
      <c r="CS17" s="1">
        <f t="shared" si="44"/>
        <v>0.02010850967797465</v>
      </c>
      <c r="CT17" s="1">
        <f t="shared" si="45"/>
        <v>0.06818088041862408</v>
      </c>
      <c r="CU17" s="1">
        <f t="shared" si="46"/>
        <v>0.06275776322178914</v>
      </c>
      <c r="CV17" s="1">
        <f t="shared" si="47"/>
        <v>0</v>
      </c>
      <c r="CW17" s="1">
        <f t="shared" si="48"/>
        <v>0.002086461069405102</v>
      </c>
      <c r="CX17" s="1">
        <f t="shared" si="49"/>
        <v>1</v>
      </c>
      <c r="CZ17" s="1">
        <f t="shared" si="50"/>
        <v>0.8571290669942064</v>
      </c>
      <c r="DA17" s="1">
        <f t="shared" si="51"/>
        <v>0.006509862441599023</v>
      </c>
      <c r="DB17" s="1">
        <f t="shared" si="52"/>
        <v>0.019419189690175656</v>
      </c>
      <c r="DC17" s="1">
        <f t="shared" si="53"/>
        <v>0.1558881168715482</v>
      </c>
      <c r="DD17" s="1">
        <f t="shared" si="54"/>
        <v>0</v>
      </c>
      <c r="DE17" s="1">
        <f t="shared" si="55"/>
        <v>0.3597622095850577</v>
      </c>
      <c r="DF17" s="1">
        <f t="shared" si="56"/>
        <v>0.34416716894863175</v>
      </c>
      <c r="DG17" s="1">
        <f t="shared" si="57"/>
        <v>0.00532439265621042</v>
      </c>
      <c r="DH17" s="1">
        <f t="shared" si="58"/>
        <v>0</v>
      </c>
      <c r="DI17" s="1">
        <f t="shared" si="59"/>
        <v>0</v>
      </c>
      <c r="DJ17" s="1">
        <f t="shared" si="60"/>
        <v>1.7482000071874289</v>
      </c>
      <c r="DL17" s="1">
        <f t="shared" si="61"/>
        <v>1.7142581339884129</v>
      </c>
      <c r="DM17" s="1">
        <f t="shared" si="61"/>
        <v>0.013019724883198046</v>
      </c>
      <c r="DN17" s="1">
        <f t="shared" si="62"/>
        <v>0.05825756907052697</v>
      </c>
      <c r="DO17" s="1">
        <f t="shared" si="63"/>
        <v>0.1558881168715482</v>
      </c>
      <c r="DP17" s="1">
        <f t="shared" si="63"/>
        <v>0</v>
      </c>
      <c r="DQ17" s="1">
        <f t="shared" si="63"/>
        <v>0.3597622095850577</v>
      </c>
      <c r="DR17" s="1">
        <f t="shared" si="63"/>
        <v>0.34416716894863175</v>
      </c>
      <c r="DS17" s="1">
        <f t="shared" si="63"/>
        <v>0.00532439265621042</v>
      </c>
      <c r="DT17" s="1">
        <f t="shared" si="63"/>
        <v>0</v>
      </c>
      <c r="DU17" s="1">
        <f t="shared" si="64"/>
        <v>0</v>
      </c>
      <c r="DV17" s="1">
        <f t="shared" si="65"/>
        <v>2.650677316003586</v>
      </c>
      <c r="DW17" s="1">
        <f t="shared" si="66"/>
        <v>2.2635723947893336</v>
      </c>
      <c r="DY17" s="1">
        <f t="shared" si="67"/>
        <v>1.940173694819623</v>
      </c>
      <c r="DZ17" s="1">
        <f t="shared" si="68"/>
        <v>0.014735544916679439</v>
      </c>
      <c r="EA17" s="1">
        <f t="shared" si="69"/>
        <v>0.059826305180376904</v>
      </c>
      <c r="EB17" s="1">
        <f t="shared" si="70"/>
        <v>0.028087178243341587</v>
      </c>
      <c r="EC17" s="1">
        <f t="shared" si="71"/>
        <v>0.08791348342371849</v>
      </c>
      <c r="ED17" s="1">
        <f t="shared" si="72"/>
        <v>0.35286403802612987</v>
      </c>
      <c r="EE17" s="1">
        <f t="shared" si="73"/>
        <v>0</v>
      </c>
      <c r="EF17" s="1">
        <f t="shared" si="74"/>
        <v>0.8143478063051512</v>
      </c>
      <c r="EG17" s="1">
        <f t="shared" si="75"/>
        <v>0.7790473028249195</v>
      </c>
      <c r="EH17" s="1">
        <f t="shared" si="76"/>
        <v>0.024104296471233924</v>
      </c>
      <c r="EI17" s="1">
        <f t="shared" si="77"/>
        <v>0</v>
      </c>
      <c r="EJ17" s="1">
        <f t="shared" si="78"/>
        <v>0</v>
      </c>
      <c r="EK17" s="1">
        <f t="shared" si="79"/>
        <v>4.013186166787456</v>
      </c>
      <c r="EL17" s="1">
        <f t="shared" si="80"/>
        <v>0.026372333574910364</v>
      </c>
      <c r="EM17" s="1">
        <f t="shared" si="81"/>
        <v>0.03942852259359242</v>
      </c>
      <c r="EN17" s="1">
        <f t="shared" si="82"/>
        <v>0.024104296471233924</v>
      </c>
      <c r="EO17" s="1">
        <f t="shared" si="83"/>
        <v>0.003982881772107663</v>
      </c>
      <c r="EP17" s="1">
        <f t="shared" si="84"/>
        <v>0.02792171170413462</v>
      </c>
      <c r="EQ17" s="1">
        <f t="shared" si="85"/>
        <v>0</v>
      </c>
      <c r="ER17" s="2">
        <f t="shared" si="86"/>
        <v>0.7471427093486772</v>
      </c>
      <c r="ES17" s="1">
        <f t="shared" si="87"/>
        <v>0.21003456749130195</v>
      </c>
      <c r="ET17" s="1">
        <f t="shared" si="88"/>
        <v>1.0131861667874553</v>
      </c>
      <c r="EU17" s="1">
        <f t="shared" si="89"/>
        <v>0.7471427093486772</v>
      </c>
      <c r="EV17" s="1">
        <f t="shared" si="90"/>
        <v>1.6988863164358128</v>
      </c>
      <c r="EW17" s="1">
        <f t="shared" si="91"/>
        <v>-5.840454824688768</v>
      </c>
      <c r="EX17" s="1">
        <f t="shared" si="92"/>
        <v>-5.840454824688768</v>
      </c>
      <c r="EY17" s="1">
        <f t="shared" si="93"/>
        <v>0.2196414879996674</v>
      </c>
      <c r="EZ17" s="84">
        <f t="shared" si="191"/>
        <v>1329.675419889998</v>
      </c>
      <c r="FA17" s="84">
        <f t="shared" si="192"/>
        <v>-2.2109848262767198</v>
      </c>
      <c r="FB17" s="1">
        <f t="shared" si="193"/>
        <v>0.1329675419889998</v>
      </c>
      <c r="FC17" s="2">
        <f t="shared" si="94"/>
        <v>1.8697175042107572</v>
      </c>
      <c r="FD17" s="2">
        <f t="shared" si="95"/>
        <v>5.934247933269811</v>
      </c>
      <c r="FE17" s="1">
        <f t="shared" si="96"/>
        <v>1.6950361970739252</v>
      </c>
      <c r="FF17" s="1">
        <f t="shared" si="97"/>
        <v>0.18582314029248814</v>
      </c>
      <c r="FG17" s="2"/>
      <c r="FH17" s="2">
        <f t="shared" si="98"/>
        <v>7.953825228545547</v>
      </c>
      <c r="FI17" s="2">
        <f t="shared" si="99"/>
        <v>0.24747955752251752</v>
      </c>
      <c r="FJ17" s="2">
        <f t="shared" si="100"/>
        <v>0.12196007259528134</v>
      </c>
      <c r="FK17" s="1">
        <f t="shared" si="101"/>
        <v>0.8031515992961534</v>
      </c>
      <c r="FL17" s="1">
        <f t="shared" si="102"/>
        <v>0.06919505673493138</v>
      </c>
      <c r="FM17" s="1">
        <f t="shared" si="103"/>
        <v>0.1245658528576419</v>
      </c>
      <c r="FN17" s="1">
        <f t="shared" si="104"/>
        <v>0.957177276839979</v>
      </c>
      <c r="FO17" s="1">
        <f t="shared" si="105"/>
        <v>0.1836622339163917</v>
      </c>
      <c r="FP17" s="1">
        <f t="shared" si="106"/>
        <v>0.3264917044512195</v>
      </c>
      <c r="FQ17" s="1">
        <f t="shared" si="107"/>
        <v>0.8754341471423581</v>
      </c>
      <c r="FR17" s="1">
        <f t="shared" si="108"/>
        <v>0.6002594452528796</v>
      </c>
      <c r="FS17" s="1">
        <f t="shared" si="109"/>
        <v>-0.0642693698642955</v>
      </c>
      <c r="FT17" s="1">
        <f t="shared" si="110"/>
        <v>0.07215003411422807</v>
      </c>
      <c r="FU17" s="1">
        <f t="shared" si="111"/>
        <v>0.07215003411422807</v>
      </c>
      <c r="FV17" s="1">
        <f t="shared" si="112"/>
        <v>0.2543416703369914</v>
      </c>
      <c r="FW17" s="1">
        <f t="shared" si="113"/>
        <v>0.1246983665896185</v>
      </c>
      <c r="FX17" s="1">
        <f t="shared" si="114"/>
        <v>0.6896494397155327</v>
      </c>
      <c r="FY17" s="1">
        <f t="shared" si="115"/>
        <v>0.7790473028249195</v>
      </c>
      <c r="FZ17" s="1">
        <f t="shared" si="116"/>
        <v>0.024104296471233924</v>
      </c>
      <c r="GA17" s="1">
        <f t="shared" si="117"/>
        <v>440.32104767700804</v>
      </c>
      <c r="GB17" s="1">
        <f t="shared" si="118"/>
        <v>11.978447171066094</v>
      </c>
      <c r="GC17" s="1">
        <f t="shared" si="119"/>
        <v>2.1103029352265215</v>
      </c>
      <c r="GD17" s="1">
        <f t="shared" si="120"/>
        <v>8.678620821119069E-06</v>
      </c>
      <c r="GE17" s="1">
        <f t="shared" si="121"/>
        <v>1748.1547471216813</v>
      </c>
      <c r="GF17" s="1">
        <f t="shared" si="122"/>
        <v>0.32719308039368145</v>
      </c>
      <c r="GG17" s="2">
        <f t="shared" si="123"/>
        <v>18.212467261295046</v>
      </c>
      <c r="GH17" s="4">
        <f t="shared" si="124"/>
        <v>0.030494472025331065</v>
      </c>
      <c r="GI17" s="4">
        <f t="shared" si="125"/>
        <v>1.762037391618315</v>
      </c>
      <c r="GJ17" s="4">
        <f t="shared" si="126"/>
        <v>8.9</v>
      </c>
      <c r="GK17" s="4">
        <f t="shared" si="127"/>
        <v>8.952167679999995</v>
      </c>
      <c r="GL17" s="4">
        <f t="shared" si="128"/>
        <v>0.030494472025331065</v>
      </c>
      <c r="GM17" s="1">
        <f t="shared" si="129"/>
        <v>440.32104767700804</v>
      </c>
      <c r="GN17" s="1">
        <f t="shared" si="129"/>
        <v>11.978447171066094</v>
      </c>
      <c r="GO17" s="4">
        <f t="shared" si="130"/>
        <v>-3.4915214326872785</v>
      </c>
      <c r="GP17" s="4"/>
      <c r="GQ17" s="7">
        <f t="shared" si="131"/>
        <v>0.32649170445121944</v>
      </c>
      <c r="GR17" s="7">
        <f t="shared" si="132"/>
        <v>0.8143478063051512</v>
      </c>
      <c r="GS17" s="7">
        <f t="shared" si="133"/>
        <v>0.024104296471233924</v>
      </c>
      <c r="GT17" s="7">
        <f t="shared" si="134"/>
        <v>0</v>
      </c>
      <c r="GU17" s="7">
        <f t="shared" si="135"/>
        <v>0.0022680371036764395</v>
      </c>
      <c r="GV17" s="7">
        <f t="shared" si="136"/>
        <v>0</v>
      </c>
      <c r="GW17" s="7">
        <f t="shared" si="137"/>
        <v>0</v>
      </c>
      <c r="GX17" s="7">
        <f t="shared" si="138"/>
        <v>0.028087178243341587</v>
      </c>
      <c r="GY17" s="7">
        <f t="shared" si="139"/>
        <v>0.05755826807670046</v>
      </c>
      <c r="GZ17" s="7">
        <f t="shared" si="140"/>
        <v>0.28618548128190013</v>
      </c>
      <c r="HA17" s="7">
        <f t="shared" si="141"/>
        <v>0.5133903902855909</v>
      </c>
      <c r="HB17" s="7">
        <f t="shared" si="142"/>
        <v>0.20583060735895178</v>
      </c>
      <c r="HC17" s="7">
        <f t="shared" si="143"/>
        <v>0.14051324640884388</v>
      </c>
      <c r="HD17" s="7">
        <f t="shared" si="144"/>
        <v>0.05633515429500265</v>
      </c>
      <c r="HE17" s="7">
        <f t="shared" si="145"/>
        <v>0.024104296471233924</v>
      </c>
      <c r="HF17" s="7"/>
      <c r="HG17" s="16">
        <f t="shared" si="146"/>
        <v>-8.791007997055397E-07</v>
      </c>
      <c r="HH17" s="16">
        <f t="shared" si="147"/>
        <v>1.4387904720274748E-12</v>
      </c>
      <c r="HI17" s="16">
        <f t="shared" si="148"/>
        <v>2.7670124977044014E-05</v>
      </c>
      <c r="HJ17" s="16">
        <f t="shared" si="149"/>
        <v>7.839179406149698E-09</v>
      </c>
      <c r="HK17" s="7">
        <f t="shared" si="150"/>
        <v>2.1103029352265215</v>
      </c>
      <c r="HL17" s="7">
        <f t="shared" si="151"/>
        <v>456.62880000412036</v>
      </c>
      <c r="HM17" s="7">
        <f t="shared" si="152"/>
        <v>0.06280737437981299</v>
      </c>
      <c r="HN17" s="7">
        <f t="shared" si="153"/>
        <v>456.62841470715136</v>
      </c>
      <c r="HO17" s="7">
        <f t="shared" si="154"/>
        <v>1.0581859005766043</v>
      </c>
      <c r="HP17" s="7">
        <f t="shared" si="155"/>
        <v>0.06280737437981299</v>
      </c>
      <c r="HQ17" s="2">
        <f t="shared" si="156"/>
        <v>0.18582314029248814</v>
      </c>
      <c r="HR17" s="17">
        <f t="shared" si="157"/>
        <v>1035</v>
      </c>
      <c r="HS17" s="17"/>
      <c r="HT17" s="7">
        <f t="shared" si="158"/>
        <v>2.084212826051412</v>
      </c>
      <c r="HU17" s="17">
        <f t="shared" si="159"/>
        <v>1748.1547471216813</v>
      </c>
      <c r="HV17" s="16">
        <f t="shared" si="160"/>
        <v>1.3103505571841241E-05</v>
      </c>
      <c r="HW17" s="1">
        <f t="shared" si="161"/>
        <v>0.4974800431483248</v>
      </c>
      <c r="HX17" s="1">
        <f t="shared" si="162"/>
        <v>0</v>
      </c>
      <c r="HY17" s="16">
        <f t="shared" si="163"/>
        <v>456.62882392892334</v>
      </c>
      <c r="HZ17" s="1">
        <f t="shared" si="164"/>
        <v>0.008188263422475847</v>
      </c>
      <c r="IA17" s="1">
        <f t="shared" si="165"/>
        <v>12.484115477636895</v>
      </c>
      <c r="IB17" s="4">
        <f t="shared" si="166"/>
        <v>-1.1946006453043054</v>
      </c>
      <c r="IC17" s="17">
        <f t="shared" si="167"/>
        <v>30.494472025331063</v>
      </c>
      <c r="ID17" s="16">
        <f t="shared" si="168"/>
        <v>456.6170205170089</v>
      </c>
      <c r="IE17" s="7">
        <f t="shared" si="169"/>
        <v>-0.0002089478845544012</v>
      </c>
      <c r="IF17" s="7">
        <f t="shared" si="170"/>
        <v>12.475718266329865</v>
      </c>
      <c r="IG17" s="4">
        <f t="shared" si="171"/>
        <v>0.030494472025331065</v>
      </c>
      <c r="IH17" s="17">
        <f t="shared" si="172"/>
        <v>1762.037391618315</v>
      </c>
      <c r="II17" s="4">
        <f t="shared" si="173"/>
        <v>455.9487298598616</v>
      </c>
      <c r="IJ17" s="7">
        <f t="shared" si="174"/>
        <v>-0.012067490111661415</v>
      </c>
      <c r="IK17" s="7">
        <f t="shared" si="175"/>
        <v>12.463859724102758</v>
      </c>
      <c r="IL17" s="4">
        <f t="shared" si="176"/>
        <v>1.762037391618315</v>
      </c>
      <c r="IN17" s="1">
        <f t="shared" si="177"/>
        <v>5.404398937851334</v>
      </c>
      <c r="IO17" s="1">
        <f t="shared" si="178"/>
        <v>20.336762091142106</v>
      </c>
    </row>
    <row r="18" spans="1:249" ht="12.75">
      <c r="A18" s="1" t="s">
        <v>130</v>
      </c>
      <c r="B18" s="85">
        <v>704</v>
      </c>
      <c r="C18" s="3">
        <v>0.2</v>
      </c>
      <c r="D18" s="3">
        <v>1000</v>
      </c>
      <c r="F18" s="1">
        <v>3985</v>
      </c>
      <c r="G18" s="33">
        <v>65.2</v>
      </c>
      <c r="H18" s="33">
        <v>1.11</v>
      </c>
      <c r="I18" s="33">
        <v>14.6</v>
      </c>
      <c r="J18" s="33">
        <v>2.07</v>
      </c>
      <c r="K18" s="33">
        <v>0.08</v>
      </c>
      <c r="L18" s="33">
        <v>0.92</v>
      </c>
      <c r="M18" s="33">
        <v>2.46</v>
      </c>
      <c r="N18" s="33">
        <v>4.06</v>
      </c>
      <c r="O18" s="33">
        <v>4.1</v>
      </c>
      <c r="P18" s="33">
        <v>0</v>
      </c>
      <c r="Q18" s="33">
        <v>0.26</v>
      </c>
      <c r="R18" s="33">
        <v>2</v>
      </c>
      <c r="S18" s="4">
        <f t="shared" si="2"/>
        <v>94.85999999999999</v>
      </c>
      <c r="U18" s="33">
        <v>51.8</v>
      </c>
      <c r="V18" s="33">
        <v>0.47</v>
      </c>
      <c r="W18" s="33">
        <v>1.88</v>
      </c>
      <c r="X18" s="33">
        <v>10.5</v>
      </c>
      <c r="Y18" s="33">
        <v>0.45</v>
      </c>
      <c r="Z18" s="33">
        <v>14.7</v>
      </c>
      <c r="AA18" s="33">
        <v>19.4</v>
      </c>
      <c r="AB18" s="33">
        <v>0.39</v>
      </c>
      <c r="AC18" s="33">
        <v>0</v>
      </c>
      <c r="AD18" s="33">
        <v>0</v>
      </c>
      <c r="AF18" s="53">
        <f t="shared" si="179"/>
        <v>1404.109261356165</v>
      </c>
      <c r="AG18" s="53">
        <f t="shared" si="194"/>
        <v>0.8444719065603667</v>
      </c>
      <c r="AI18" s="51">
        <f t="shared" si="3"/>
        <v>1404.109261356165</v>
      </c>
      <c r="AJ18" s="51">
        <f t="shared" si="4"/>
        <v>1130.959261356165</v>
      </c>
      <c r="AK18" s="51">
        <f t="shared" si="180"/>
        <v>1380.7865127339041</v>
      </c>
      <c r="AL18" s="51">
        <f t="shared" si="5"/>
        <v>1107.636512733904</v>
      </c>
      <c r="AM18" s="51">
        <f t="shared" si="6"/>
        <v>0.8444719065603667</v>
      </c>
      <c r="AN18" s="51"/>
      <c r="AO18" s="51">
        <f t="shared" si="181"/>
        <v>1239.2217149047133</v>
      </c>
      <c r="AP18" s="51">
        <f t="shared" si="182"/>
        <v>9.877615022979576</v>
      </c>
      <c r="AQ18" s="51">
        <f t="shared" si="183"/>
        <v>966.0717149047133</v>
      </c>
      <c r="AR18" s="70"/>
      <c r="AS18" s="90">
        <f t="shared" si="7"/>
        <v>0.41928589458766585</v>
      </c>
      <c r="AT18" s="90">
        <f t="shared" si="8"/>
        <v>0.036958515853522195</v>
      </c>
      <c r="AU18" s="90">
        <f t="shared" si="9"/>
        <v>0.0058544823329610435</v>
      </c>
      <c r="AV18" s="90">
        <f t="shared" si="10"/>
        <v>0.018377630114441223</v>
      </c>
      <c r="AW18" s="90">
        <f t="shared" si="11"/>
        <v>0.018958646249316324</v>
      </c>
      <c r="AX18" s="90">
        <f t="shared" si="184"/>
        <v>0</v>
      </c>
      <c r="AY18" s="51">
        <f t="shared" si="185"/>
        <v>0.4994351691379066</v>
      </c>
      <c r="AZ18" s="70"/>
      <c r="BA18" s="90">
        <f t="shared" si="12"/>
        <v>0.7521414662281902</v>
      </c>
      <c r="BB18" s="90">
        <f t="shared" si="0"/>
        <v>0.19992833370235807</v>
      </c>
      <c r="BC18" s="90">
        <f t="shared" si="1"/>
        <v>0</v>
      </c>
      <c r="BD18" s="90">
        <f t="shared" si="13"/>
        <v>0.02722013508009194</v>
      </c>
      <c r="BE18" s="90">
        <f t="shared" si="14"/>
        <v>0.027968116313537794</v>
      </c>
      <c r="BF18" s="90">
        <f t="shared" si="15"/>
        <v>0</v>
      </c>
      <c r="BG18" s="90">
        <f t="shared" si="186"/>
        <v>1.007258051324178</v>
      </c>
      <c r="BH18" s="90">
        <f t="shared" si="187"/>
        <v>0.31746031746031755</v>
      </c>
      <c r="BI18" s="70"/>
      <c r="BJ18" s="51">
        <f t="shared" si="16"/>
        <v>8.89229136060065</v>
      </c>
      <c r="BK18" s="51">
        <f t="shared" si="188"/>
        <v>11.252277670025894</v>
      </c>
      <c r="BL18" s="51">
        <f t="shared" si="17"/>
        <v>978.9972381497772</v>
      </c>
      <c r="BM18" s="51">
        <f t="shared" si="18"/>
        <v>964.9335653050263</v>
      </c>
      <c r="BN18" s="51">
        <f t="shared" si="189"/>
        <v>964.9335653050263</v>
      </c>
      <c r="BO18" s="51"/>
      <c r="BP18" s="51">
        <f t="shared" si="19"/>
        <v>2.5862241186246138</v>
      </c>
      <c r="BQ18" s="51">
        <f t="shared" si="20"/>
        <v>3.8332502003309905</v>
      </c>
      <c r="BR18" s="51">
        <f t="shared" si="21"/>
        <v>10.348293470488954</v>
      </c>
      <c r="BS18" s="51">
        <f t="shared" si="22"/>
        <v>1138.407128365432</v>
      </c>
      <c r="BT18" s="71">
        <f t="shared" si="190"/>
        <v>0.26414325238087394</v>
      </c>
      <c r="BU18" s="70"/>
      <c r="BV18" s="51">
        <f t="shared" si="23"/>
        <v>-2.9811020119062137</v>
      </c>
      <c r="BW18" s="51">
        <f t="shared" si="24"/>
        <v>-3.2734393114381275</v>
      </c>
      <c r="BX18" s="51">
        <f t="shared" si="25"/>
        <v>1031.8973251435477</v>
      </c>
      <c r="BY18" s="2"/>
      <c r="BZ18" s="1">
        <f t="shared" si="26"/>
        <v>1.0851420420975197</v>
      </c>
      <c r="CA18" s="1">
        <f t="shared" si="27"/>
        <v>0.013896052519567145</v>
      </c>
      <c r="CB18" s="1">
        <f t="shared" si="28"/>
        <v>0.28638400957228743</v>
      </c>
      <c r="CC18" s="1">
        <f t="shared" si="29"/>
        <v>0.02881146445750935</v>
      </c>
      <c r="CD18" s="1">
        <f t="shared" si="30"/>
        <v>0.0011277533039647577</v>
      </c>
      <c r="CE18" s="1">
        <f t="shared" si="31"/>
        <v>0.022826291918500215</v>
      </c>
      <c r="CF18" s="1">
        <f t="shared" si="32"/>
        <v>0.04386793966910021</v>
      </c>
      <c r="CG18" s="1">
        <f t="shared" si="33"/>
        <v>0.1310123283891776</v>
      </c>
      <c r="CH18" s="1">
        <f t="shared" si="34"/>
        <v>0.08705252876979913</v>
      </c>
      <c r="CI18" s="1">
        <f t="shared" si="35"/>
        <v>0</v>
      </c>
      <c r="CJ18" s="1">
        <f t="shared" si="36"/>
        <v>0.003663597229756864</v>
      </c>
      <c r="CK18" s="1">
        <f t="shared" si="37"/>
        <v>1.7037840079271824</v>
      </c>
      <c r="CM18" s="1">
        <f t="shared" si="38"/>
        <v>0.6369011782295689</v>
      </c>
      <c r="CN18" s="1">
        <f t="shared" si="39"/>
        <v>0.008155994219286653</v>
      </c>
      <c r="CO18" s="1">
        <f t="shared" si="40"/>
        <v>0.16808703934291602</v>
      </c>
      <c r="CP18" s="1">
        <f t="shared" si="41"/>
        <v>0.01691027989666441</v>
      </c>
      <c r="CQ18" s="1">
        <f t="shared" si="42"/>
        <v>0.0006619109574439417</v>
      </c>
      <c r="CR18" s="1">
        <f t="shared" si="43"/>
        <v>0.013397409420616995</v>
      </c>
      <c r="CS18" s="1">
        <f t="shared" si="44"/>
        <v>0.025747359679980673</v>
      </c>
      <c r="CT18" s="1">
        <f t="shared" si="45"/>
        <v>0.07689491612764152</v>
      </c>
      <c r="CU18" s="1">
        <f t="shared" si="46"/>
        <v>0.051093641192058684</v>
      </c>
      <c r="CV18" s="1">
        <f t="shared" si="47"/>
        <v>0</v>
      </c>
      <c r="CW18" s="1">
        <f t="shared" si="48"/>
        <v>0.002150270933822171</v>
      </c>
      <c r="CX18" s="1">
        <f t="shared" si="49"/>
        <v>1</v>
      </c>
      <c r="CZ18" s="1">
        <f t="shared" si="50"/>
        <v>0.8621220518504834</v>
      </c>
      <c r="DA18" s="1">
        <f t="shared" si="51"/>
        <v>0.005883914129906809</v>
      </c>
      <c r="DB18" s="1">
        <f t="shared" si="52"/>
        <v>0.018438422534106175</v>
      </c>
      <c r="DC18" s="1">
        <f t="shared" si="53"/>
        <v>0.14614510956707644</v>
      </c>
      <c r="DD18" s="1">
        <f t="shared" si="54"/>
        <v>0.006343612334801762</v>
      </c>
      <c r="DE18" s="1">
        <f t="shared" si="55"/>
        <v>0.3647244469586447</v>
      </c>
      <c r="DF18" s="1">
        <f t="shared" si="56"/>
        <v>0.3459504185286764</v>
      </c>
      <c r="DG18" s="1">
        <f t="shared" si="57"/>
        <v>0.006292464048248678</v>
      </c>
      <c r="DH18" s="1">
        <f t="shared" si="58"/>
        <v>0</v>
      </c>
      <c r="DI18" s="1">
        <f t="shared" si="59"/>
        <v>0</v>
      </c>
      <c r="DJ18" s="1">
        <f t="shared" si="60"/>
        <v>1.7559004399519444</v>
      </c>
      <c r="DL18" s="1">
        <f t="shared" si="61"/>
        <v>1.7242441037009668</v>
      </c>
      <c r="DM18" s="1">
        <f t="shared" si="61"/>
        <v>0.011767828259813618</v>
      </c>
      <c r="DN18" s="1">
        <f t="shared" si="62"/>
        <v>0.05531526760231853</v>
      </c>
      <c r="DO18" s="1">
        <f t="shared" si="63"/>
        <v>0.14614510956707644</v>
      </c>
      <c r="DP18" s="1">
        <f t="shared" si="63"/>
        <v>0.006343612334801762</v>
      </c>
      <c r="DQ18" s="1">
        <f t="shared" si="63"/>
        <v>0.3647244469586447</v>
      </c>
      <c r="DR18" s="1">
        <f t="shared" si="63"/>
        <v>0.3459504185286764</v>
      </c>
      <c r="DS18" s="1">
        <f t="shared" si="63"/>
        <v>0.006292464048248678</v>
      </c>
      <c r="DT18" s="1">
        <f t="shared" si="63"/>
        <v>0</v>
      </c>
      <c r="DU18" s="1">
        <f t="shared" si="64"/>
        <v>0</v>
      </c>
      <c r="DV18" s="1">
        <f t="shared" si="65"/>
        <v>2.660783251000547</v>
      </c>
      <c r="DW18" s="1">
        <f t="shared" si="66"/>
        <v>2.2549751084549228</v>
      </c>
      <c r="DY18" s="1">
        <f t="shared" si="67"/>
        <v>1.9440637673729244</v>
      </c>
      <c r="DZ18" s="1">
        <f t="shared" si="68"/>
        <v>0.013268079903226059</v>
      </c>
      <c r="EA18" s="1">
        <f t="shared" si="69"/>
        <v>0.05593623262707559</v>
      </c>
      <c r="EB18" s="1">
        <f t="shared" si="70"/>
        <v>0.02722013508009194</v>
      </c>
      <c r="EC18" s="1">
        <f t="shared" si="71"/>
        <v>0.08315636770716753</v>
      </c>
      <c r="ED18" s="1">
        <f t="shared" si="72"/>
        <v>0.32955358429617476</v>
      </c>
      <c r="EE18" s="1">
        <f t="shared" si="73"/>
        <v>0.014304687912665589</v>
      </c>
      <c r="EF18" s="1">
        <f t="shared" si="74"/>
        <v>0.8224445493367316</v>
      </c>
      <c r="EG18" s="1">
        <f t="shared" si="75"/>
        <v>0.780109582541728</v>
      </c>
      <c r="EH18" s="1">
        <f t="shared" si="76"/>
        <v>0.02837869959929653</v>
      </c>
      <c r="EI18" s="1">
        <f t="shared" si="77"/>
        <v>0</v>
      </c>
      <c r="EJ18" s="1">
        <f t="shared" si="78"/>
        <v>0</v>
      </c>
      <c r="EK18" s="1">
        <f t="shared" si="79"/>
        <v>4.015279318669915</v>
      </c>
      <c r="EL18" s="1">
        <f t="shared" si="80"/>
        <v>0.030558637339828068</v>
      </c>
      <c r="EM18" s="1">
        <f t="shared" si="81"/>
        <v>0.045663529106541034</v>
      </c>
      <c r="EN18" s="1">
        <f t="shared" si="82"/>
        <v>0.02722013508009194</v>
      </c>
      <c r="EO18" s="1">
        <f t="shared" si="83"/>
        <v>0</v>
      </c>
      <c r="EP18" s="1">
        <f t="shared" si="84"/>
        <v>0.027968116313537794</v>
      </c>
      <c r="EQ18" s="1">
        <f t="shared" si="85"/>
        <v>0</v>
      </c>
      <c r="ER18" s="2">
        <f t="shared" si="86"/>
        <v>0.7521414662281902</v>
      </c>
      <c r="ES18" s="1">
        <f t="shared" si="87"/>
        <v>0.19992833370235807</v>
      </c>
      <c r="ET18" s="1">
        <f t="shared" si="88"/>
        <v>1.007258051324178</v>
      </c>
      <c r="EU18" s="1">
        <f t="shared" si="89"/>
        <v>0.7521414662281902</v>
      </c>
      <c r="EV18" s="1">
        <f t="shared" si="90"/>
        <v>1.647072081328714</v>
      </c>
      <c r="EW18" s="1">
        <f t="shared" si="91"/>
        <v>-6.1261556288987995</v>
      </c>
      <c r="EX18" s="1">
        <f t="shared" si="92"/>
        <v>-6.1261556288987995</v>
      </c>
      <c r="EY18" s="1">
        <f t="shared" si="93"/>
        <v>0.4420465473419582</v>
      </c>
      <c r="EZ18" s="84">
        <f t="shared" si="191"/>
        <v>1404.109261356165</v>
      </c>
      <c r="FA18" s="84">
        <f t="shared" si="192"/>
        <v>0.8444719065603667</v>
      </c>
      <c r="FB18" s="1">
        <f t="shared" si="193"/>
        <v>0.1404109261356165</v>
      </c>
      <c r="FC18" s="2">
        <f t="shared" si="94"/>
        <v>2.0854011794626395</v>
      </c>
      <c r="FD18" s="2">
        <f t="shared" si="95"/>
        <v>6.084899551804296</v>
      </c>
      <c r="FE18" s="1">
        <f t="shared" si="96"/>
        <v>1.7959309870510431</v>
      </c>
      <c r="FF18" s="1">
        <f t="shared" si="97"/>
        <v>0.18083158168828675</v>
      </c>
      <c r="FG18" s="2"/>
      <c r="FH18" s="2">
        <f t="shared" si="98"/>
        <v>7.685607900271849</v>
      </c>
      <c r="FI18" s="2">
        <f t="shared" si="99"/>
        <v>0.23288875175467946</v>
      </c>
      <c r="FJ18" s="2">
        <f t="shared" si="100"/>
        <v>0.31746031746031755</v>
      </c>
      <c r="FK18" s="1">
        <f t="shared" si="101"/>
        <v>0.8227929700536901</v>
      </c>
      <c r="FL18" s="1">
        <f t="shared" si="102"/>
        <v>0.07104685232314606</v>
      </c>
      <c r="FM18" s="1">
        <f t="shared" si="103"/>
        <v>0.12533016788680768</v>
      </c>
      <c r="FN18" s="1">
        <f t="shared" si="104"/>
        <v>0.959511785016682</v>
      </c>
      <c r="FO18" s="1">
        <f t="shared" si="105"/>
        <v>0.16192771127639627</v>
      </c>
      <c r="FP18" s="1">
        <f t="shared" si="106"/>
        <v>0.2989949469563467</v>
      </c>
      <c r="FQ18" s="1">
        <f t="shared" si="107"/>
        <v>0.8746698321131923</v>
      </c>
      <c r="FR18" s="1">
        <f t="shared" si="108"/>
        <v>0.5570697035347254</v>
      </c>
      <c r="FS18" s="1">
        <f t="shared" si="109"/>
        <v>-0.05298400651908867</v>
      </c>
      <c r="FT18" s="1">
        <f t="shared" si="110"/>
        <v>0.06428405708953816</v>
      </c>
      <c r="FU18" s="1">
        <f t="shared" si="111"/>
        <v>0.06428405708953816</v>
      </c>
      <c r="FV18" s="1">
        <f t="shared" si="112"/>
        <v>0.23471088986680855</v>
      </c>
      <c r="FW18" s="1">
        <f t="shared" si="113"/>
        <v>0.11292297285677172</v>
      </c>
      <c r="FX18" s="1">
        <f t="shared" si="114"/>
        <v>0.7095215764799598</v>
      </c>
      <c r="FY18" s="1">
        <f t="shared" si="115"/>
        <v>0.780109582541728</v>
      </c>
      <c r="FZ18" s="1">
        <f t="shared" si="116"/>
        <v>0.02837869959929653</v>
      </c>
      <c r="GA18" s="1">
        <f t="shared" si="117"/>
        <v>440.1166498841476</v>
      </c>
      <c r="GB18" s="1">
        <f t="shared" si="118"/>
        <v>11.965437787224051</v>
      </c>
      <c r="GC18" s="1">
        <f t="shared" si="119"/>
        <v>2.114873569566201</v>
      </c>
      <c r="GD18" s="1">
        <f t="shared" si="120"/>
        <v>8.697417554841001E-06</v>
      </c>
      <c r="GE18" s="1">
        <f t="shared" si="121"/>
        <v>1753.7797754070837</v>
      </c>
      <c r="GF18" s="1">
        <f t="shared" si="122"/>
        <v>0.3083219421695728</v>
      </c>
      <c r="GG18" s="2">
        <f t="shared" si="123"/>
        <v>23.322918470488958</v>
      </c>
      <c r="GH18" s="4">
        <f t="shared" si="124"/>
        <v>2.859493385289003</v>
      </c>
      <c r="GI18" s="4">
        <f t="shared" si="125"/>
        <v>5.328533952768327</v>
      </c>
      <c r="GJ18" s="4">
        <f t="shared" si="126"/>
        <v>8.16</v>
      </c>
      <c r="GK18" s="4">
        <f t="shared" si="127"/>
        <v>8.781324480000016</v>
      </c>
      <c r="GL18" s="4">
        <f t="shared" si="128"/>
        <v>2.859493385289003</v>
      </c>
      <c r="GM18" s="1">
        <f t="shared" si="129"/>
        <v>440.1166498841476</v>
      </c>
      <c r="GN18" s="1">
        <f t="shared" si="129"/>
        <v>11.965437787224051</v>
      </c>
      <c r="GO18" s="4">
        <f t="shared" si="130"/>
        <v>-3.012120410694365</v>
      </c>
      <c r="GP18" s="4"/>
      <c r="GQ18" s="7">
        <f t="shared" si="131"/>
        <v>0.3132996348690123</v>
      </c>
      <c r="GR18" s="7">
        <f t="shared" si="132"/>
        <v>0.8224445493367316</v>
      </c>
      <c r="GS18" s="7">
        <f t="shared" si="133"/>
        <v>0.02837869959929653</v>
      </c>
      <c r="GT18" s="7">
        <f t="shared" si="134"/>
        <v>0</v>
      </c>
      <c r="GU18" s="7">
        <f t="shared" si="135"/>
        <v>0.0021799377405315387</v>
      </c>
      <c r="GV18" s="7">
        <f t="shared" si="136"/>
        <v>0</v>
      </c>
      <c r="GW18" s="7">
        <f t="shared" si="137"/>
        <v>0</v>
      </c>
      <c r="GX18" s="7">
        <f t="shared" si="138"/>
        <v>0.02722013508009194</v>
      </c>
      <c r="GY18" s="7">
        <f t="shared" si="139"/>
        <v>0.053756294886544057</v>
      </c>
      <c r="GZ18" s="7">
        <f t="shared" si="140"/>
        <v>0.27585405166579047</v>
      </c>
      <c r="HA18" s="7">
        <f t="shared" si="141"/>
        <v>0.5244071972323073</v>
      </c>
      <c r="HB18" s="7">
        <f t="shared" si="142"/>
        <v>0.1997661526823451</v>
      </c>
      <c r="HC18" s="7">
        <f t="shared" si="143"/>
        <v>0.13868243454610135</v>
      </c>
      <c r="HD18" s="7">
        <f t="shared" si="144"/>
        <v>0.052829283312874106</v>
      </c>
      <c r="HE18" s="7">
        <f t="shared" si="145"/>
        <v>0.02837869959929653</v>
      </c>
      <c r="HF18" s="7"/>
      <c r="HG18" s="16">
        <f t="shared" si="146"/>
        <v>-8.785556895983219E-07</v>
      </c>
      <c r="HH18" s="16">
        <f t="shared" si="147"/>
        <v>1.4477379527146118E-12</v>
      </c>
      <c r="HI18" s="16">
        <f t="shared" si="148"/>
        <v>2.7654232408816536E-05</v>
      </c>
      <c r="HJ18" s="16">
        <f t="shared" si="149"/>
        <v>7.830368337190899E-09</v>
      </c>
      <c r="HK18" s="7">
        <f t="shared" si="150"/>
        <v>2.114873569566201</v>
      </c>
      <c r="HL18" s="7">
        <f t="shared" si="151"/>
        <v>455.2588926977419</v>
      </c>
      <c r="HM18" s="7">
        <f t="shared" si="152"/>
        <v>1.7692821064031323</v>
      </c>
      <c r="HN18" s="7">
        <f t="shared" si="153"/>
        <v>455.2584486262359</v>
      </c>
      <c r="HO18" s="7">
        <f t="shared" si="154"/>
        <v>2.9177508133437193</v>
      </c>
      <c r="HP18" s="7">
        <f t="shared" si="155"/>
        <v>1.7692821064031323</v>
      </c>
      <c r="HQ18" s="2">
        <f t="shared" si="156"/>
        <v>0.18083158168828675</v>
      </c>
      <c r="HR18" s="17">
        <f t="shared" si="157"/>
        <v>975</v>
      </c>
      <c r="HS18" s="17"/>
      <c r="HT18" s="7">
        <f t="shared" si="158"/>
        <v>2.083484170462419</v>
      </c>
      <c r="HU18" s="17">
        <f t="shared" si="159"/>
        <v>1753.7797754070837</v>
      </c>
      <c r="HV18" s="16">
        <f t="shared" si="160"/>
        <v>1.3078443260211999E-05</v>
      </c>
      <c r="HW18" s="1">
        <f t="shared" si="161"/>
        <v>0.4666570537697043</v>
      </c>
      <c r="HX18" s="1">
        <f t="shared" si="162"/>
        <v>1882.9888628293788</v>
      </c>
      <c r="HY18" s="16">
        <f t="shared" si="163"/>
        <v>454.53374599483584</v>
      </c>
      <c r="HZ18" s="1">
        <f t="shared" si="164"/>
        <v>-0.012840094024900278</v>
      </c>
      <c r="IA18" s="1">
        <f t="shared" si="165"/>
        <v>12.419254746968855</v>
      </c>
      <c r="IB18" s="4">
        <f t="shared" si="166"/>
        <v>1.8829888628293787</v>
      </c>
      <c r="IC18" s="17">
        <f t="shared" si="167"/>
        <v>2859.493385289003</v>
      </c>
      <c r="ID18" s="16">
        <f t="shared" si="168"/>
        <v>454.15911471961203</v>
      </c>
      <c r="IE18" s="7">
        <f t="shared" si="169"/>
        <v>-0.01949345065296041</v>
      </c>
      <c r="IF18" s="7">
        <f t="shared" si="170"/>
        <v>12.412601390340795</v>
      </c>
      <c r="IG18" s="4">
        <f t="shared" si="171"/>
        <v>2.859493385289003</v>
      </c>
      <c r="IH18" s="17">
        <f t="shared" si="172"/>
        <v>5328.533952768326</v>
      </c>
      <c r="II18" s="4">
        <f t="shared" si="173"/>
        <v>453.2172997082885</v>
      </c>
      <c r="IJ18" s="7">
        <f t="shared" si="174"/>
        <v>-0.036299614431463414</v>
      </c>
      <c r="IK18" s="7">
        <f t="shared" si="175"/>
        <v>12.395795226562292</v>
      </c>
      <c r="IL18" s="4">
        <f t="shared" si="176"/>
        <v>5.328533952768327</v>
      </c>
      <c r="IN18" s="1">
        <f t="shared" si="177"/>
        <v>4.1296963789170995</v>
      </c>
      <c r="IO18" s="1">
        <f t="shared" si="178"/>
        <v>14.123695766733903</v>
      </c>
    </row>
    <row r="19" spans="1:249" ht="12.75">
      <c r="A19" s="1" t="s">
        <v>130</v>
      </c>
      <c r="B19" s="85">
        <v>802</v>
      </c>
      <c r="C19" s="3">
        <v>0.8</v>
      </c>
      <c r="D19" s="3">
        <v>1250</v>
      </c>
      <c r="F19" s="1">
        <v>3986</v>
      </c>
      <c r="G19" s="33">
        <v>48.7</v>
      </c>
      <c r="H19" s="33">
        <v>0.69</v>
      </c>
      <c r="I19" s="33">
        <v>17.2</v>
      </c>
      <c r="J19" s="33">
        <v>9.69</v>
      </c>
      <c r="K19" s="33">
        <v>0.09</v>
      </c>
      <c r="L19" s="33">
        <v>8.51</v>
      </c>
      <c r="M19" s="33">
        <v>11.6</v>
      </c>
      <c r="N19" s="33">
        <v>2.63</v>
      </c>
      <c r="O19" s="33">
        <v>0.44</v>
      </c>
      <c r="P19" s="33">
        <v>0</v>
      </c>
      <c r="Q19" s="33">
        <v>0.12</v>
      </c>
      <c r="R19" s="33">
        <v>0</v>
      </c>
      <c r="S19" s="4">
        <f t="shared" si="2"/>
        <v>99.67</v>
      </c>
      <c r="U19" s="33">
        <v>51.2</v>
      </c>
      <c r="V19" s="33">
        <v>0.33</v>
      </c>
      <c r="W19" s="33">
        <v>7.25</v>
      </c>
      <c r="X19" s="33">
        <v>5.89</v>
      </c>
      <c r="Y19" s="33">
        <v>0.16</v>
      </c>
      <c r="Z19" s="33">
        <v>17.7</v>
      </c>
      <c r="AA19" s="33">
        <v>17.5</v>
      </c>
      <c r="AB19" s="33">
        <v>0.44</v>
      </c>
      <c r="AC19" s="33">
        <v>0</v>
      </c>
      <c r="AD19" s="33">
        <v>0</v>
      </c>
      <c r="AF19" s="53">
        <f t="shared" si="179"/>
        <v>1530.5974524856786</v>
      </c>
      <c r="AG19" s="53">
        <f t="shared" si="194"/>
        <v>10.607305974829279</v>
      </c>
      <c r="AI19" s="51">
        <f t="shared" si="3"/>
        <v>1530.5974524856786</v>
      </c>
      <c r="AJ19" s="51">
        <f t="shared" si="4"/>
        <v>1257.4474524856787</v>
      </c>
      <c r="AK19" s="51">
        <f t="shared" si="180"/>
        <v>1535.7290077460248</v>
      </c>
      <c r="AL19" s="51">
        <f t="shared" si="5"/>
        <v>1262.5790077460247</v>
      </c>
      <c r="AM19" s="51">
        <f t="shared" si="6"/>
        <v>10.607305974829279</v>
      </c>
      <c r="AN19" s="51"/>
      <c r="AO19" s="51">
        <f t="shared" si="181"/>
        <v>1541.738474326461</v>
      </c>
      <c r="AP19" s="51">
        <f t="shared" si="182"/>
        <v>9.48663545945821</v>
      </c>
      <c r="AQ19" s="51">
        <f t="shared" si="183"/>
        <v>1268.588474326461</v>
      </c>
      <c r="AR19" s="70"/>
      <c r="AS19" s="90">
        <f t="shared" si="7"/>
        <v>0.520873844978645</v>
      </c>
      <c r="AT19" s="90">
        <f t="shared" si="8"/>
        <v>0.2823911653397358</v>
      </c>
      <c r="AU19" s="90">
        <f t="shared" si="9"/>
        <v>0.042239255035524094</v>
      </c>
      <c r="AV19" s="90">
        <f t="shared" si="10"/>
        <v>0.012051268768662998</v>
      </c>
      <c r="AW19" s="90">
        <f t="shared" si="11"/>
        <v>0.015190496851346635</v>
      </c>
      <c r="AX19" s="90">
        <f t="shared" si="184"/>
        <v>0</v>
      </c>
      <c r="AY19" s="51">
        <f t="shared" si="185"/>
        <v>0.8727460309739145</v>
      </c>
      <c r="AZ19" s="70"/>
      <c r="BA19" s="90">
        <f t="shared" si="12"/>
        <v>0.537626896842069</v>
      </c>
      <c r="BB19" s="90">
        <f t="shared" si="0"/>
        <v>0.29591990503536936</v>
      </c>
      <c r="BC19" s="90">
        <f t="shared" si="1"/>
        <v>0.12428306671120888</v>
      </c>
      <c r="BD19" s="90">
        <f t="shared" si="13"/>
        <v>0.030772240710256124</v>
      </c>
      <c r="BE19" s="90">
        <f t="shared" si="14"/>
        <v>0.014438475486206269</v>
      </c>
      <c r="BF19" s="90">
        <f t="shared" si="15"/>
        <v>0</v>
      </c>
      <c r="BG19" s="90">
        <f t="shared" si="186"/>
        <v>1.0030405847851096</v>
      </c>
      <c r="BH19" s="90">
        <f t="shared" si="187"/>
        <v>0.2922454857649275</v>
      </c>
      <c r="BI19" s="70"/>
      <c r="BJ19" s="51">
        <f t="shared" si="16"/>
        <v>8.642401672924352</v>
      </c>
      <c r="BK19" s="51">
        <f t="shared" si="188"/>
        <v>10.308156531615579</v>
      </c>
      <c r="BL19" s="51">
        <f t="shared" si="17"/>
        <v>1254.1270927500732</v>
      </c>
      <c r="BM19" s="51">
        <f t="shared" si="18"/>
        <v>1272.3689609991861</v>
      </c>
      <c r="BN19" s="51">
        <f t="shared" si="189"/>
        <v>1272.3689609991861</v>
      </c>
      <c r="BO19" s="51"/>
      <c r="BP19" s="51">
        <f t="shared" si="19"/>
        <v>11.498703245812976</v>
      </c>
      <c r="BQ19" s="51">
        <f t="shared" si="20"/>
        <v>10.151222860994345</v>
      </c>
      <c r="BR19" s="51">
        <f t="shared" si="21"/>
        <v>9.355574623606405</v>
      </c>
      <c r="BS19" s="51">
        <f t="shared" si="22"/>
        <v>1274.3532375191621</v>
      </c>
      <c r="BT19" s="71">
        <f t="shared" si="190"/>
        <v>0.292266022945417</v>
      </c>
      <c r="BU19" s="70"/>
      <c r="BV19" s="51">
        <f t="shared" si="23"/>
        <v>9.617195972045199</v>
      </c>
      <c r="BW19" s="51">
        <f t="shared" si="24"/>
        <v>10.318336869862453</v>
      </c>
      <c r="BX19" s="51">
        <f t="shared" si="25"/>
        <v>1223.635261135762</v>
      </c>
      <c r="BY19" s="2"/>
      <c r="BZ19" s="1">
        <f t="shared" si="26"/>
        <v>0.8105278750022885</v>
      </c>
      <c r="CA19" s="1">
        <f t="shared" si="27"/>
        <v>0.008638086701352549</v>
      </c>
      <c r="CB19" s="1">
        <f t="shared" si="28"/>
        <v>0.3373839016879003</v>
      </c>
      <c r="CC19" s="1">
        <f t="shared" si="29"/>
        <v>0.13487105825761625</v>
      </c>
      <c r="CD19" s="1">
        <f t="shared" si="30"/>
        <v>0.0012687224669603525</v>
      </c>
      <c r="CE19" s="1">
        <f t="shared" si="31"/>
        <v>0.21114320024612696</v>
      </c>
      <c r="CF19" s="1">
        <f t="shared" si="32"/>
        <v>0.20685695128518797</v>
      </c>
      <c r="CG19" s="1">
        <f t="shared" si="33"/>
        <v>0.08486759203535396</v>
      </c>
      <c r="CH19" s="1">
        <f t="shared" si="34"/>
        <v>0.009342222599685762</v>
      </c>
      <c r="CI19" s="1">
        <f t="shared" si="35"/>
        <v>0</v>
      </c>
      <c r="CJ19" s="1">
        <f t="shared" si="36"/>
        <v>0.0016908910291185523</v>
      </c>
      <c r="CK19" s="1">
        <f t="shared" si="37"/>
        <v>1.8065905013115908</v>
      </c>
      <c r="CM19" s="1">
        <f t="shared" si="38"/>
        <v>0.44865057931714053</v>
      </c>
      <c r="CN19" s="1">
        <f t="shared" si="39"/>
        <v>0.004781430376768431</v>
      </c>
      <c r="CO19" s="1">
        <f t="shared" si="40"/>
        <v>0.18675173009210355</v>
      </c>
      <c r="CP19" s="1">
        <f t="shared" si="41"/>
        <v>0.07465502456682874</v>
      </c>
      <c r="CQ19" s="1">
        <f t="shared" si="42"/>
        <v>0.0007022745143624167</v>
      </c>
      <c r="CR19" s="1">
        <f t="shared" si="43"/>
        <v>0.11687385718724652</v>
      </c>
      <c r="CS19" s="1">
        <f t="shared" si="44"/>
        <v>0.11450129464037873</v>
      </c>
      <c r="CT19" s="1">
        <f t="shared" si="45"/>
        <v>0.04697666237796545</v>
      </c>
      <c r="CU19" s="1">
        <f t="shared" si="46"/>
        <v>0.005171189925388889</v>
      </c>
      <c r="CV19" s="1">
        <f t="shared" si="47"/>
        <v>0</v>
      </c>
      <c r="CW19" s="1">
        <f t="shared" si="48"/>
        <v>0.0009359570018169362</v>
      </c>
      <c r="CX19" s="1">
        <f t="shared" si="49"/>
        <v>1.0000000000000002</v>
      </c>
      <c r="CZ19" s="1">
        <f t="shared" si="50"/>
        <v>0.8521360821379296</v>
      </c>
      <c r="DA19" s="1">
        <f t="shared" si="51"/>
        <v>0.004131258857168611</v>
      </c>
      <c r="DB19" s="1">
        <f t="shared" si="52"/>
        <v>0.07110561881503712</v>
      </c>
      <c r="DC19" s="1">
        <f t="shared" si="53"/>
        <v>0.08198044717619811</v>
      </c>
      <c r="DD19" s="1">
        <f t="shared" si="54"/>
        <v>0.0022555066079295153</v>
      </c>
      <c r="DE19" s="1">
        <f t="shared" si="55"/>
        <v>0.4391580075624497</v>
      </c>
      <c r="DF19" s="1">
        <f t="shared" si="56"/>
        <v>0.3120686765078267</v>
      </c>
      <c r="DG19" s="1">
        <f t="shared" si="57"/>
        <v>0.0070991902082805595</v>
      </c>
      <c r="DH19" s="1">
        <f t="shared" si="58"/>
        <v>0</v>
      </c>
      <c r="DI19" s="1">
        <f t="shared" si="59"/>
        <v>0</v>
      </c>
      <c r="DJ19" s="1">
        <f t="shared" si="60"/>
        <v>1.7699347878728198</v>
      </c>
      <c r="DL19" s="1">
        <f t="shared" si="61"/>
        <v>1.7042721642758591</v>
      </c>
      <c r="DM19" s="1">
        <f t="shared" si="61"/>
        <v>0.008262517714337222</v>
      </c>
      <c r="DN19" s="1">
        <f t="shared" si="62"/>
        <v>0.21331685644511134</v>
      </c>
      <c r="DO19" s="1">
        <f t="shared" si="63"/>
        <v>0.08198044717619811</v>
      </c>
      <c r="DP19" s="1">
        <f t="shared" si="63"/>
        <v>0.0022555066079295153</v>
      </c>
      <c r="DQ19" s="1">
        <f t="shared" si="63"/>
        <v>0.4391580075624497</v>
      </c>
      <c r="DR19" s="1">
        <f t="shared" si="63"/>
        <v>0.3120686765078267</v>
      </c>
      <c r="DS19" s="1">
        <f t="shared" si="63"/>
        <v>0.0070991902082805595</v>
      </c>
      <c r="DT19" s="1">
        <f t="shared" si="63"/>
        <v>0</v>
      </c>
      <c r="DU19" s="1">
        <f t="shared" si="64"/>
        <v>0</v>
      </c>
      <c r="DV19" s="1">
        <f t="shared" si="65"/>
        <v>2.768413366497992</v>
      </c>
      <c r="DW19" s="1">
        <f t="shared" si="66"/>
        <v>2.167306397451015</v>
      </c>
      <c r="DY19" s="1">
        <f t="shared" si="67"/>
        <v>1.8468399823163786</v>
      </c>
      <c r="DZ19" s="1">
        <f t="shared" si="68"/>
        <v>0.0089537037506677</v>
      </c>
      <c r="EA19" s="1">
        <f t="shared" si="69"/>
        <v>0.15316001768362142</v>
      </c>
      <c r="EB19" s="1">
        <f t="shared" si="70"/>
        <v>0.155055307421465</v>
      </c>
      <c r="EC19" s="1">
        <f t="shared" si="71"/>
        <v>0.3082153251050864</v>
      </c>
      <c r="ED19" s="1">
        <f t="shared" si="72"/>
        <v>0.1776767476308692</v>
      </c>
      <c r="EE19" s="1">
        <f t="shared" si="73"/>
        <v>0.004888373900858677</v>
      </c>
      <c r="EF19" s="1">
        <f t="shared" si="74"/>
        <v>0.9517899592819385</v>
      </c>
      <c r="EG19" s="1">
        <f t="shared" si="75"/>
        <v>0.6763484390394842</v>
      </c>
      <c r="EH19" s="1">
        <f t="shared" si="76"/>
        <v>0.030772240710256124</v>
      </c>
      <c r="EI19" s="1">
        <f t="shared" si="77"/>
        <v>0</v>
      </c>
      <c r="EJ19" s="1">
        <f t="shared" si="78"/>
        <v>0</v>
      </c>
      <c r="EK19" s="1">
        <f t="shared" si="79"/>
        <v>4.0054847717355395</v>
      </c>
      <c r="EL19" s="1">
        <f t="shared" si="80"/>
        <v>0.010969543471077151</v>
      </c>
      <c r="EM19" s="1">
        <f t="shared" si="81"/>
        <v>0.016431784060424448</v>
      </c>
      <c r="EN19" s="1">
        <f t="shared" si="82"/>
        <v>0.030772240710256124</v>
      </c>
      <c r="EO19" s="1">
        <f t="shared" si="83"/>
        <v>0.12428306671120888</v>
      </c>
      <c r="EP19" s="1">
        <f t="shared" si="84"/>
        <v>0.014438475486206269</v>
      </c>
      <c r="EQ19" s="1">
        <f t="shared" si="85"/>
        <v>0</v>
      </c>
      <c r="ER19" s="2">
        <f t="shared" si="86"/>
        <v>0.537626896842069</v>
      </c>
      <c r="ES19" s="1">
        <f t="shared" si="87"/>
        <v>0.29591990503536936</v>
      </c>
      <c r="ET19" s="1">
        <f t="shared" si="88"/>
        <v>1.0030405847851096</v>
      </c>
      <c r="EU19" s="1">
        <f t="shared" si="89"/>
        <v>0.537626896842069</v>
      </c>
      <c r="EV19" s="1">
        <f t="shared" si="90"/>
        <v>2.8579590934892516</v>
      </c>
      <c r="EW19" s="1">
        <f t="shared" si="91"/>
        <v>-1.9443580871249357</v>
      </c>
      <c r="EX19" s="1">
        <f t="shared" si="92"/>
        <v>-1.944358087124936</v>
      </c>
      <c r="EY19" s="1">
        <f t="shared" si="93"/>
        <v>0.6102153164414835</v>
      </c>
      <c r="EZ19" s="84">
        <f t="shared" si="191"/>
        <v>1530.5974524856786</v>
      </c>
      <c r="FA19" s="84">
        <f t="shared" si="192"/>
        <v>10.607305974829279</v>
      </c>
      <c r="FB19" s="1">
        <f t="shared" si="193"/>
        <v>0.15305974524856786</v>
      </c>
      <c r="FC19" s="2">
        <f t="shared" si="94"/>
        <v>0.6754435428146287</v>
      </c>
      <c r="FD19" s="2">
        <f t="shared" si="95"/>
        <v>5.553844818903011</v>
      </c>
      <c r="FE19" s="1">
        <f t="shared" si="96"/>
        <v>10.895262624255807</v>
      </c>
      <c r="FF19" s="1">
        <f t="shared" si="97"/>
        <v>0.24323809632561585</v>
      </c>
      <c r="FG19" s="2"/>
      <c r="FH19" s="2">
        <f t="shared" si="98"/>
        <v>16.40465132605476</v>
      </c>
      <c r="FI19" s="2">
        <f t="shared" si="99"/>
        <v>0.2906654834381946</v>
      </c>
      <c r="FJ19" s="2">
        <f t="shared" si="100"/>
        <v>0.2922454857649275</v>
      </c>
      <c r="FK19" s="1">
        <f t="shared" si="101"/>
        <v>0.712009053650599</v>
      </c>
      <c r="FL19" s="1">
        <f t="shared" si="102"/>
        <v>0.17497855464320985</v>
      </c>
      <c r="FM19" s="1">
        <f t="shared" si="103"/>
        <v>0.12442097700011205</v>
      </c>
      <c r="FN19" s="1">
        <f t="shared" si="104"/>
        <v>0.8359909888278673</v>
      </c>
      <c r="FO19" s="1">
        <f t="shared" si="105"/>
        <v>0.2825061746138634</v>
      </c>
      <c r="FP19" s="1">
        <f t="shared" si="106"/>
        <v>0.16670720415979204</v>
      </c>
      <c r="FQ19" s="1">
        <f t="shared" si="107"/>
        <v>0.875579022999888</v>
      </c>
      <c r="FR19" s="1">
        <f t="shared" si="108"/>
        <v>0.5372886722299695</v>
      </c>
      <c r="FS19" s="1">
        <f t="shared" si="109"/>
        <v>-0.048010165489241315</v>
      </c>
      <c r="FT19" s="1">
        <f t="shared" si="110"/>
        <v>0.06067775429402479</v>
      </c>
      <c r="FU19" s="1">
        <f t="shared" si="111"/>
        <v>0.06067775429402479</v>
      </c>
      <c r="FV19" s="1">
        <f t="shared" si="112"/>
        <v>0.10602944986576725</v>
      </c>
      <c r="FW19" s="1">
        <f t="shared" si="113"/>
        <v>0.22731319205537626</v>
      </c>
      <c r="FX19" s="1">
        <f t="shared" si="114"/>
        <v>0.7244767672265623</v>
      </c>
      <c r="FY19" s="1">
        <f t="shared" si="115"/>
        <v>0.6763484390394842</v>
      </c>
      <c r="FZ19" s="1">
        <f t="shared" si="116"/>
        <v>0.030772240710256124</v>
      </c>
      <c r="GA19" s="1">
        <f t="shared" si="117"/>
        <v>434.04920438370135</v>
      </c>
      <c r="GB19" s="1">
        <f t="shared" si="118"/>
        <v>11.59737602185238</v>
      </c>
      <c r="GC19" s="1">
        <f t="shared" si="119"/>
        <v>2.1949018018649564</v>
      </c>
      <c r="GD19" s="1">
        <f t="shared" si="120"/>
        <v>9.026533660169633E-06</v>
      </c>
      <c r="GE19" s="1">
        <f t="shared" si="121"/>
        <v>1875.2595694332838</v>
      </c>
      <c r="GF19" s="1">
        <f t="shared" si="122"/>
        <v>0.3912026735232169</v>
      </c>
      <c r="GG19" s="2">
        <f t="shared" si="123"/>
        <v>22.330199623606394</v>
      </c>
      <c r="GH19" s="4">
        <f t="shared" si="124"/>
        <v>8.923172976766644</v>
      </c>
      <c r="GI19" s="4">
        <f t="shared" si="125"/>
        <v>11.170883362389407</v>
      </c>
      <c r="GJ19" s="4">
        <f t="shared" si="126"/>
        <v>3.07</v>
      </c>
      <c r="GK19" s="4">
        <f t="shared" si="127"/>
        <v>4.289394179999995</v>
      </c>
      <c r="GL19" s="4">
        <f t="shared" si="128"/>
        <v>8.923172976766644</v>
      </c>
      <c r="GM19" s="1">
        <f t="shared" si="129"/>
        <v>434.04920438370135</v>
      </c>
      <c r="GN19" s="1">
        <f t="shared" si="129"/>
        <v>11.59737602185238</v>
      </c>
      <c r="GO19" s="4">
        <f t="shared" si="130"/>
        <v>10.927654185326475</v>
      </c>
      <c r="GP19" s="4"/>
      <c r="GQ19" s="7">
        <f t="shared" si="131"/>
        <v>0.1715955780606507</v>
      </c>
      <c r="GR19" s="7">
        <f t="shared" si="132"/>
        <v>0.9517899592819385</v>
      </c>
      <c r="GS19" s="7">
        <f t="shared" si="133"/>
        <v>0.010969543471077151</v>
      </c>
      <c r="GT19" s="7">
        <f t="shared" si="134"/>
        <v>0.019802697239178973</v>
      </c>
      <c r="GU19" s="7">
        <f t="shared" si="135"/>
        <v>0</v>
      </c>
      <c r="GV19" s="7">
        <f t="shared" si="136"/>
        <v>0.019802697239178973</v>
      </c>
      <c r="GW19" s="7">
        <f t="shared" si="137"/>
        <v>0</v>
      </c>
      <c r="GX19" s="7">
        <f t="shared" si="138"/>
        <v>0.13525261018228604</v>
      </c>
      <c r="GY19" s="7">
        <f t="shared" si="139"/>
        <v>0.15316001768362145</v>
      </c>
      <c r="GZ19" s="7">
        <f t="shared" si="140"/>
        <v>0.15274860887613573</v>
      </c>
      <c r="HA19" s="7">
        <f t="shared" si="141"/>
        <v>0.44327211781365317</v>
      </c>
      <c r="HB19" s="7">
        <f t="shared" si="142"/>
        <v>0.07991630354220958</v>
      </c>
      <c r="HC19" s="7">
        <f t="shared" si="143"/>
        <v>0.24814241151344432</v>
      </c>
      <c r="HD19" s="7">
        <f t="shared" si="144"/>
        <v>0.04473690873681543</v>
      </c>
      <c r="HE19" s="7">
        <f t="shared" si="145"/>
        <v>0.030772240710256124</v>
      </c>
      <c r="HF19" s="7"/>
      <c r="HG19" s="16">
        <f t="shared" si="146"/>
        <v>-8.5038329537109E-07</v>
      </c>
      <c r="HH19" s="16">
        <f t="shared" si="147"/>
        <v>1.3947796421394442E-12</v>
      </c>
      <c r="HI19" s="16">
        <f t="shared" si="148"/>
        <v>2.6328217632986678E-05</v>
      </c>
      <c r="HJ19" s="16">
        <f t="shared" si="149"/>
        <v>7.430034490294256E-09</v>
      </c>
      <c r="HK19" s="7">
        <f t="shared" si="150"/>
        <v>2.1949018018649564</v>
      </c>
      <c r="HL19" s="7">
        <f t="shared" si="151"/>
        <v>452.88562428812276</v>
      </c>
      <c r="HM19" s="7">
        <f t="shared" si="152"/>
        <v>5.63735926421263</v>
      </c>
      <c r="HN19" s="7">
        <f t="shared" si="153"/>
        <v>452.8853904292066</v>
      </c>
      <c r="HO19" s="7">
        <f t="shared" si="154"/>
        <v>6.270949869142541</v>
      </c>
      <c r="HP19" s="7">
        <f t="shared" si="155"/>
        <v>5.63735926421263</v>
      </c>
      <c r="HQ19" s="2">
        <f t="shared" si="156"/>
        <v>0.24323809632561585</v>
      </c>
      <c r="HR19" s="17">
        <f t="shared" si="157"/>
        <v>1225</v>
      </c>
      <c r="HS19" s="17"/>
      <c r="HT19" s="7">
        <f t="shared" si="158"/>
        <v>2.062869030983952</v>
      </c>
      <c r="HU19" s="17">
        <f t="shared" si="159"/>
        <v>1875.2595694332838</v>
      </c>
      <c r="HV19" s="16">
        <f t="shared" si="160"/>
        <v>1.263962178644049E-05</v>
      </c>
      <c r="HW19" s="1">
        <f t="shared" si="161"/>
        <v>0.5515142787233774</v>
      </c>
      <c r="HX19" s="1">
        <f t="shared" si="162"/>
        <v>12252.578886468938</v>
      </c>
      <c r="HY19" s="16">
        <f t="shared" si="163"/>
        <v>448.45606398744405</v>
      </c>
      <c r="HZ19" s="1">
        <f t="shared" si="164"/>
        <v>-0.07552824101093553</v>
      </c>
      <c r="IA19" s="1">
        <f t="shared" si="165"/>
        <v>12.073362059564822</v>
      </c>
      <c r="IB19" s="4">
        <f t="shared" si="166"/>
        <v>12.252578886468939</v>
      </c>
      <c r="IC19" s="17">
        <f t="shared" si="167"/>
        <v>8923.172976766644</v>
      </c>
      <c r="ID19" s="16">
        <f t="shared" si="168"/>
        <v>449.64229245623926</v>
      </c>
      <c r="IE19" s="7">
        <f t="shared" si="169"/>
        <v>-0.055053587067201426</v>
      </c>
      <c r="IF19" s="7">
        <f t="shared" si="170"/>
        <v>12.093836713508557</v>
      </c>
      <c r="IG19" s="4">
        <f t="shared" si="171"/>
        <v>8.923172976766644</v>
      </c>
      <c r="IH19" s="17">
        <f t="shared" si="172"/>
        <v>11170.883362389408</v>
      </c>
      <c r="II19" s="4">
        <f t="shared" si="173"/>
        <v>448.839987538957</v>
      </c>
      <c r="IJ19" s="7">
        <f t="shared" si="174"/>
        <v>-0.06888017571055319</v>
      </c>
      <c r="IK19" s="7">
        <f t="shared" si="175"/>
        <v>12.080010124865204</v>
      </c>
      <c r="IL19" s="4">
        <f t="shared" si="176"/>
        <v>11.170883362389407</v>
      </c>
      <c r="IN19" s="1">
        <f t="shared" si="177"/>
        <v>9.007985159197428</v>
      </c>
      <c r="IO19" s="1">
        <f t="shared" si="178"/>
        <v>8.817202926504734</v>
      </c>
    </row>
    <row r="20" spans="1:249" ht="12.75">
      <c r="A20" s="1" t="s">
        <v>130</v>
      </c>
      <c r="B20" s="85">
        <v>805</v>
      </c>
      <c r="C20" s="3">
        <v>0.8</v>
      </c>
      <c r="D20" s="3">
        <v>1200</v>
      </c>
      <c r="F20" s="1">
        <v>3987</v>
      </c>
      <c r="G20" s="33">
        <v>48.2</v>
      </c>
      <c r="H20" s="33">
        <v>0.98</v>
      </c>
      <c r="I20" s="33">
        <v>16.7</v>
      </c>
      <c r="J20" s="33">
        <v>9.83</v>
      </c>
      <c r="K20" s="33">
        <v>0.17</v>
      </c>
      <c r="L20" s="33">
        <v>8.13</v>
      </c>
      <c r="M20" s="33">
        <v>11.8</v>
      </c>
      <c r="N20" s="33">
        <v>2.64</v>
      </c>
      <c r="O20" s="33">
        <v>0.42</v>
      </c>
      <c r="P20" s="33">
        <v>0</v>
      </c>
      <c r="Q20" s="33">
        <v>0.23</v>
      </c>
      <c r="R20" s="33">
        <v>0</v>
      </c>
      <c r="S20" s="4">
        <f t="shared" si="2"/>
        <v>99.1</v>
      </c>
      <c r="U20" s="33">
        <v>50.5</v>
      </c>
      <c r="V20" s="33">
        <v>0.55</v>
      </c>
      <c r="W20" s="33">
        <v>7.06</v>
      </c>
      <c r="X20" s="33">
        <v>5.25</v>
      </c>
      <c r="Y20" s="33">
        <v>0.13</v>
      </c>
      <c r="Z20" s="33">
        <v>16.5</v>
      </c>
      <c r="AA20" s="33">
        <v>18.9</v>
      </c>
      <c r="AB20" s="33">
        <v>0.33</v>
      </c>
      <c r="AC20" s="33">
        <v>0</v>
      </c>
      <c r="AD20" s="33">
        <v>0</v>
      </c>
      <c r="AF20" s="53">
        <f t="shared" si="179"/>
        <v>1501.1130433432747</v>
      </c>
      <c r="AG20" s="53">
        <f t="shared" si="194"/>
        <v>7.960041779868228</v>
      </c>
      <c r="AI20" s="51">
        <f t="shared" si="3"/>
        <v>1501.1130433432747</v>
      </c>
      <c r="AJ20" s="51">
        <f t="shared" si="4"/>
        <v>1227.9630433432749</v>
      </c>
      <c r="AK20" s="51">
        <f t="shared" si="180"/>
        <v>1505.1110685833967</v>
      </c>
      <c r="AL20" s="51">
        <f t="shared" si="5"/>
        <v>1231.9610685833968</v>
      </c>
      <c r="AM20" s="51">
        <f t="shared" si="6"/>
        <v>7.960041779868228</v>
      </c>
      <c r="AN20" s="51"/>
      <c r="AO20" s="51">
        <f t="shared" si="181"/>
        <v>1515.2690018397427</v>
      </c>
      <c r="AP20" s="51">
        <f t="shared" si="182"/>
        <v>7.101243060560905</v>
      </c>
      <c r="AQ20" s="51">
        <f t="shared" si="183"/>
        <v>1242.1190018397429</v>
      </c>
      <c r="AR20" s="70"/>
      <c r="AS20" s="90">
        <f t="shared" si="7"/>
        <v>0.6109865334421614</v>
      </c>
      <c r="AT20" s="90">
        <f t="shared" si="8"/>
        <v>0.2305563456424322</v>
      </c>
      <c r="AU20" s="90">
        <f t="shared" si="9"/>
        <v>0.03341919577620913</v>
      </c>
      <c r="AV20" s="90">
        <f t="shared" si="10"/>
        <v>0.012150088718705043</v>
      </c>
      <c r="AW20" s="90">
        <f t="shared" si="11"/>
        <v>0.02130847485532215</v>
      </c>
      <c r="AX20" s="90">
        <f t="shared" si="184"/>
        <v>0</v>
      </c>
      <c r="AY20" s="51">
        <f t="shared" si="185"/>
        <v>0.9084206384348299</v>
      </c>
      <c r="AZ20" s="70"/>
      <c r="BA20" s="90">
        <f t="shared" si="12"/>
        <v>0.6004499928437057</v>
      </c>
      <c r="BB20" s="90">
        <f t="shared" si="0"/>
        <v>0.23011917721742958</v>
      </c>
      <c r="BC20" s="90">
        <f t="shared" si="1"/>
        <v>0.12886712780749945</v>
      </c>
      <c r="BD20" s="90">
        <f t="shared" si="13"/>
        <v>0.023411494206372823</v>
      </c>
      <c r="BE20" s="90">
        <f t="shared" si="14"/>
        <v>0.0116569248875074</v>
      </c>
      <c r="BF20" s="90">
        <f t="shared" si="15"/>
        <v>0</v>
      </c>
      <c r="BG20" s="90">
        <f t="shared" si="186"/>
        <v>0.9945047169625149</v>
      </c>
      <c r="BH20" s="90">
        <f t="shared" si="187"/>
        <v>0.2631554610191436</v>
      </c>
      <c r="BI20" s="70"/>
      <c r="BJ20" s="51">
        <f t="shared" si="16"/>
        <v>6.2167259262593255</v>
      </c>
      <c r="BK20" s="51">
        <f t="shared" si="188"/>
        <v>8.141469717988048</v>
      </c>
      <c r="BL20" s="51">
        <f t="shared" si="17"/>
        <v>1224.0383389855929</v>
      </c>
      <c r="BM20" s="51">
        <f t="shared" si="18"/>
        <v>1244.6516604645185</v>
      </c>
      <c r="BN20" s="51">
        <f t="shared" si="189"/>
        <v>1244.6516604645185</v>
      </c>
      <c r="BO20" s="51"/>
      <c r="BP20" s="51">
        <f t="shared" si="19"/>
        <v>9.31181048642884</v>
      </c>
      <c r="BQ20" s="51">
        <f t="shared" si="20"/>
        <v>8.174311874708005</v>
      </c>
      <c r="BR20" s="51">
        <f t="shared" si="21"/>
        <v>7.567753704399161</v>
      </c>
      <c r="BS20" s="51">
        <f t="shared" si="22"/>
        <v>1244.9120848342159</v>
      </c>
      <c r="BT20" s="71">
        <f t="shared" si="190"/>
        <v>0.28588939737796787</v>
      </c>
      <c r="BU20" s="70"/>
      <c r="BV20" s="51">
        <f t="shared" si="23"/>
        <v>8.422450882784817</v>
      </c>
      <c r="BW20" s="51">
        <f t="shared" si="24"/>
        <v>8.912480099121769</v>
      </c>
      <c r="BX20" s="51">
        <f t="shared" si="25"/>
        <v>1157.6892930361287</v>
      </c>
      <c r="BY20" s="2"/>
      <c r="BZ20" s="1">
        <f t="shared" si="26"/>
        <v>0.8022062335751603</v>
      </c>
      <c r="CA20" s="1">
        <f t="shared" si="27"/>
        <v>0.012268586909167389</v>
      </c>
      <c r="CB20" s="1">
        <f t="shared" si="28"/>
        <v>0.3275762301272055</v>
      </c>
      <c r="CC20" s="1">
        <f t="shared" si="29"/>
        <v>0.1368196597185106</v>
      </c>
      <c r="CD20" s="1">
        <f t="shared" si="30"/>
        <v>0.00239647577092511</v>
      </c>
      <c r="CE20" s="1">
        <f t="shared" si="31"/>
        <v>0.20171494923631167</v>
      </c>
      <c r="CF20" s="1">
        <f t="shared" si="32"/>
        <v>0.21042345044527744</v>
      </c>
      <c r="CG20" s="1">
        <f t="shared" si="33"/>
        <v>0.08519028249936672</v>
      </c>
      <c r="CH20" s="1">
        <f t="shared" si="34"/>
        <v>0.008917576117881864</v>
      </c>
      <c r="CI20" s="1">
        <f t="shared" si="35"/>
        <v>0</v>
      </c>
      <c r="CJ20" s="1">
        <f t="shared" si="36"/>
        <v>0.0032408744724772257</v>
      </c>
      <c r="CK20" s="1">
        <f t="shared" si="37"/>
        <v>1.7907543188722836</v>
      </c>
      <c r="CM20" s="1">
        <f t="shared" si="38"/>
        <v>0.4479711287701066</v>
      </c>
      <c r="CN20" s="1">
        <f t="shared" si="39"/>
        <v>0.006851072076092188</v>
      </c>
      <c r="CO20" s="1">
        <f t="shared" si="40"/>
        <v>0.1829263940200879</v>
      </c>
      <c r="CP20" s="1">
        <f t="shared" si="41"/>
        <v>0.07640336716019869</v>
      </c>
      <c r="CQ20" s="1">
        <f t="shared" si="42"/>
        <v>0.0013382493319542995</v>
      </c>
      <c r="CR20" s="1">
        <f t="shared" si="43"/>
        <v>0.11264244743708919</v>
      </c>
      <c r="CS20" s="1">
        <f t="shared" si="44"/>
        <v>0.11750548259338572</v>
      </c>
      <c r="CT20" s="1">
        <f t="shared" si="45"/>
        <v>0.04757228928701664</v>
      </c>
      <c r="CU20" s="1">
        <f t="shared" si="46"/>
        <v>0.004979787581077929</v>
      </c>
      <c r="CV20" s="1">
        <f t="shared" si="47"/>
        <v>0</v>
      </c>
      <c r="CW20" s="1">
        <f t="shared" si="48"/>
        <v>0.0018097817429909347</v>
      </c>
      <c r="CX20" s="1">
        <f t="shared" si="49"/>
        <v>1</v>
      </c>
      <c r="CZ20" s="1">
        <f t="shared" si="50"/>
        <v>0.84048578413995</v>
      </c>
      <c r="DA20" s="1">
        <f t="shared" si="51"/>
        <v>0.0068854314286143515</v>
      </c>
      <c r="DB20" s="1">
        <f t="shared" si="52"/>
        <v>0.06924216121850511</v>
      </c>
      <c r="DC20" s="1">
        <f t="shared" si="53"/>
        <v>0.07307255478353822</v>
      </c>
      <c r="DD20" s="1">
        <f t="shared" si="54"/>
        <v>0.0018325991189427314</v>
      </c>
      <c r="DE20" s="1">
        <f t="shared" si="55"/>
        <v>0.40938458332092775</v>
      </c>
      <c r="DF20" s="1">
        <f t="shared" si="56"/>
        <v>0.3370341706284528</v>
      </c>
      <c r="DG20" s="1">
        <f t="shared" si="57"/>
        <v>0.00532439265621042</v>
      </c>
      <c r="DH20" s="1">
        <f t="shared" si="58"/>
        <v>0</v>
      </c>
      <c r="DI20" s="1">
        <f t="shared" si="59"/>
        <v>0</v>
      </c>
      <c r="DJ20" s="1">
        <f t="shared" si="60"/>
        <v>1.7432616772951413</v>
      </c>
      <c r="DL20" s="1">
        <f t="shared" si="61"/>
        <v>1.6809715682799</v>
      </c>
      <c r="DM20" s="1">
        <f t="shared" si="61"/>
        <v>0.013770862857228703</v>
      </c>
      <c r="DN20" s="1">
        <f t="shared" si="62"/>
        <v>0.20772648365551533</v>
      </c>
      <c r="DO20" s="1">
        <f t="shared" si="63"/>
        <v>0.07307255478353822</v>
      </c>
      <c r="DP20" s="1">
        <f t="shared" si="63"/>
        <v>0.0018325991189427314</v>
      </c>
      <c r="DQ20" s="1">
        <f t="shared" si="63"/>
        <v>0.40938458332092775</v>
      </c>
      <c r="DR20" s="1">
        <f t="shared" si="63"/>
        <v>0.3370341706284528</v>
      </c>
      <c r="DS20" s="1">
        <f t="shared" si="63"/>
        <v>0.00532439265621042</v>
      </c>
      <c r="DT20" s="1">
        <f t="shared" si="63"/>
        <v>0</v>
      </c>
      <c r="DU20" s="1">
        <f t="shared" si="64"/>
        <v>0</v>
      </c>
      <c r="DV20" s="1">
        <f t="shared" si="65"/>
        <v>2.729117215300716</v>
      </c>
      <c r="DW20" s="1">
        <f t="shared" si="66"/>
        <v>2.19851311858691</v>
      </c>
      <c r="DY20" s="1">
        <f t="shared" si="67"/>
        <v>1.8478190224174857</v>
      </c>
      <c r="DZ20" s="1">
        <f t="shared" si="68"/>
        <v>0.01513771132293926</v>
      </c>
      <c r="EA20" s="1">
        <f t="shared" si="69"/>
        <v>0.15218097758251425</v>
      </c>
      <c r="EB20" s="1">
        <f t="shared" si="70"/>
        <v>0.15227862201387227</v>
      </c>
      <c r="EC20" s="1">
        <f t="shared" si="71"/>
        <v>0.3044595995963865</v>
      </c>
      <c r="ED20" s="1">
        <f t="shared" si="72"/>
        <v>0.16065097030026942</v>
      </c>
      <c r="EE20" s="1">
        <f t="shared" si="73"/>
        <v>0.004028993204106408</v>
      </c>
      <c r="EF20" s="1">
        <f t="shared" si="74"/>
        <v>0.9000373769782954</v>
      </c>
      <c r="EG20" s="1">
        <f t="shared" si="75"/>
        <v>0.7409740455387125</v>
      </c>
      <c r="EH20" s="1">
        <f t="shared" si="76"/>
        <v>0.023411494206372823</v>
      </c>
      <c r="EI20" s="1">
        <f t="shared" si="77"/>
        <v>0</v>
      </c>
      <c r="EJ20" s="1">
        <f t="shared" si="78"/>
        <v>0</v>
      </c>
      <c r="EK20" s="1">
        <f t="shared" si="79"/>
        <v>3.996519213564568</v>
      </c>
      <c r="EL20" s="1">
        <f t="shared" si="80"/>
        <v>0</v>
      </c>
      <c r="EM20" s="1">
        <f t="shared" si="81"/>
        <v>-0.010451454126235049</v>
      </c>
      <c r="EN20" s="1">
        <f t="shared" si="82"/>
        <v>0.023411494206372823</v>
      </c>
      <c r="EO20" s="1">
        <f t="shared" si="83"/>
        <v>0.12886712780749945</v>
      </c>
      <c r="EP20" s="1">
        <f t="shared" si="84"/>
        <v>0.0116569248875074</v>
      </c>
      <c r="EQ20" s="1">
        <f t="shared" si="85"/>
        <v>0</v>
      </c>
      <c r="ER20" s="2">
        <f t="shared" si="86"/>
        <v>0.6004499928437057</v>
      </c>
      <c r="ES20" s="1">
        <f t="shared" si="87"/>
        <v>0.23011917721742958</v>
      </c>
      <c r="ET20" s="1">
        <f t="shared" si="88"/>
        <v>0.994504716962515</v>
      </c>
      <c r="EU20" s="1">
        <f t="shared" si="89"/>
        <v>0.6004499928437057</v>
      </c>
      <c r="EV20" s="1">
        <f t="shared" si="90"/>
        <v>2.5957010855088973</v>
      </c>
      <c r="EW20" s="1">
        <f t="shared" si="91"/>
        <v>-2.3073121585427048</v>
      </c>
      <c r="EX20" s="1">
        <f t="shared" si="92"/>
        <v>-2.3073121585427048</v>
      </c>
      <c r="EY20" s="1">
        <f t="shared" si="93"/>
        <v>0.5958473488399844</v>
      </c>
      <c r="EZ20" s="84">
        <f t="shared" si="191"/>
        <v>1501.1130433432747</v>
      </c>
      <c r="FA20" s="84">
        <f t="shared" si="192"/>
        <v>7.960041779868228</v>
      </c>
      <c r="FB20" s="1">
        <f t="shared" si="193"/>
        <v>0.15011130433432748</v>
      </c>
      <c r="FC20" s="2">
        <f t="shared" si="94"/>
        <v>0.5557889627478829</v>
      </c>
      <c r="FD20" s="2">
        <f t="shared" si="95"/>
        <v>5.546978099197498</v>
      </c>
      <c r="FE20" s="1">
        <f t="shared" si="96"/>
        <v>8.224539351214277</v>
      </c>
      <c r="FF20" s="1">
        <f t="shared" si="97"/>
        <v>0.19698887485515187</v>
      </c>
      <c r="FG20" s="2"/>
      <c r="FH20" s="2">
        <f t="shared" si="98"/>
        <v>14.335510855450806</v>
      </c>
      <c r="FI20" s="2">
        <f t="shared" si="99"/>
        <v>0.2797420690421349</v>
      </c>
      <c r="FJ20" s="2">
        <f t="shared" si="100"/>
        <v>0.2631554610191436</v>
      </c>
      <c r="FK20" s="1">
        <f t="shared" si="101"/>
        <v>0.7684145329491917</v>
      </c>
      <c r="FL20" s="1">
        <f t="shared" si="102"/>
        <v>0.16741633333681152</v>
      </c>
      <c r="FM20" s="1">
        <f t="shared" si="103"/>
        <v>0.12623839792875596</v>
      </c>
      <c r="FN20" s="1">
        <f t="shared" si="104"/>
        <v>0.8325836666631885</v>
      </c>
      <c r="FO20" s="1">
        <f t="shared" si="105"/>
        <v>0.22810468061537637</v>
      </c>
      <c r="FP20" s="1">
        <f t="shared" si="106"/>
        <v>0.16065097030026942</v>
      </c>
      <c r="FQ20" s="1">
        <f t="shared" si="107"/>
        <v>0.873761602071244</v>
      </c>
      <c r="FR20" s="1">
        <f t="shared" si="108"/>
        <v>0.47662073555274076</v>
      </c>
      <c r="FS20" s="1">
        <f t="shared" si="109"/>
        <v>-0.03720442998915342</v>
      </c>
      <c r="FT20" s="1">
        <f t="shared" si="110"/>
        <v>0.052880117998323685</v>
      </c>
      <c r="FU20" s="1">
        <f t="shared" si="111"/>
        <v>0.052880117998323685</v>
      </c>
      <c r="FV20" s="1">
        <f t="shared" si="112"/>
        <v>0.10777085230194575</v>
      </c>
      <c r="FW20" s="1">
        <f t="shared" si="113"/>
        <v>0.1787053490524846</v>
      </c>
      <c r="FX20" s="1">
        <f t="shared" si="114"/>
        <v>0.7213320279258109</v>
      </c>
      <c r="FY20" s="1">
        <f t="shared" si="115"/>
        <v>0.7409740455387125</v>
      </c>
      <c r="FZ20" s="1">
        <f t="shared" si="116"/>
        <v>0.023411494206372823</v>
      </c>
      <c r="GA20" s="1">
        <f t="shared" si="117"/>
        <v>435.28907507104174</v>
      </c>
      <c r="GB20" s="1">
        <f t="shared" si="118"/>
        <v>11.58574633502866</v>
      </c>
      <c r="GC20" s="1">
        <f t="shared" si="119"/>
        <v>2.175592471788887</v>
      </c>
      <c r="GD20" s="1">
        <f t="shared" si="120"/>
        <v>8.947124040231797E-06</v>
      </c>
      <c r="GE20" s="1">
        <f t="shared" si="121"/>
        <v>1860.5241459349334</v>
      </c>
      <c r="GF20" s="1">
        <f t="shared" si="122"/>
        <v>0.3712527596069983</v>
      </c>
      <c r="GG20" s="2">
        <f t="shared" si="123"/>
        <v>20.542378704399148</v>
      </c>
      <c r="GH20" s="4">
        <f t="shared" si="124"/>
        <v>8.482233011733467</v>
      </c>
      <c r="GI20" s="4">
        <f t="shared" si="125"/>
        <v>10.48759335227247</v>
      </c>
      <c r="GJ20" s="4">
        <f t="shared" si="126"/>
        <v>3.06</v>
      </c>
      <c r="GK20" s="4">
        <f t="shared" si="127"/>
        <v>4.094846079999989</v>
      </c>
      <c r="GL20" s="4">
        <f t="shared" si="128"/>
        <v>8.482233011733467</v>
      </c>
      <c r="GM20" s="1">
        <f t="shared" si="129"/>
        <v>435.28907507104174</v>
      </c>
      <c r="GN20" s="1">
        <f t="shared" si="129"/>
        <v>11.58574633502866</v>
      </c>
      <c r="GO20" s="4">
        <f t="shared" si="130"/>
        <v>9.474124555111473</v>
      </c>
      <c r="GP20" s="4"/>
      <c r="GQ20" s="7">
        <f t="shared" si="131"/>
        <v>0.16467996350437583</v>
      </c>
      <c r="GR20" s="7">
        <f t="shared" si="132"/>
        <v>0.9000373769782954</v>
      </c>
      <c r="GS20" s="7">
        <f t="shared" si="133"/>
        <v>0</v>
      </c>
      <c r="GT20" s="7">
        <f t="shared" si="134"/>
        <v>0.023411494206372823</v>
      </c>
      <c r="GU20" s="7">
        <f t="shared" si="135"/>
        <v>0</v>
      </c>
      <c r="GV20" s="7">
        <f t="shared" si="136"/>
        <v>0.023411494206372823</v>
      </c>
      <c r="GW20" s="7">
        <f t="shared" si="137"/>
        <v>0</v>
      </c>
      <c r="GX20" s="7">
        <f t="shared" si="138"/>
        <v>0.12886712780749945</v>
      </c>
      <c r="GY20" s="7">
        <f t="shared" si="139"/>
        <v>0.15914255045337797</v>
      </c>
      <c r="GZ20" s="7">
        <f t="shared" si="140"/>
        <v>0.15467012440101802</v>
      </c>
      <c r="HA20" s="7">
        <f t="shared" si="141"/>
        <v>0.49183954536005553</v>
      </c>
      <c r="HB20" s="7">
        <f t="shared" si="142"/>
        <v>0.08999194972527899</v>
      </c>
      <c r="HC20" s="7">
        <f t="shared" si="143"/>
        <v>0.19917194237660832</v>
      </c>
      <c r="HD20" s="7">
        <f t="shared" si="144"/>
        <v>0.03644251787830637</v>
      </c>
      <c r="HE20" s="7">
        <f t="shared" si="145"/>
        <v>0.023411494206372823</v>
      </c>
      <c r="HF20" s="7"/>
      <c r="HG20" s="16">
        <f t="shared" si="146"/>
        <v>-8.577187689372961E-07</v>
      </c>
      <c r="HH20" s="16">
        <f t="shared" si="147"/>
        <v>1.4660577004189904E-12</v>
      </c>
      <c r="HI20" s="16">
        <f t="shared" si="148"/>
        <v>2.651559486474306E-05</v>
      </c>
      <c r="HJ20" s="16">
        <f t="shared" si="149"/>
        <v>7.50240703805286E-09</v>
      </c>
      <c r="HK20" s="7">
        <f t="shared" si="150"/>
        <v>2.175592471788887</v>
      </c>
      <c r="HL20" s="7">
        <f t="shared" si="151"/>
        <v>453.3576147621324</v>
      </c>
      <c r="HM20" s="7">
        <f t="shared" si="152"/>
        <v>5.301653311092787</v>
      </c>
      <c r="HN20" s="7">
        <f t="shared" si="153"/>
        <v>453.3574384634579</v>
      </c>
      <c r="HO20" s="7">
        <f t="shared" si="154"/>
        <v>5.773862665507255</v>
      </c>
      <c r="HP20" s="7">
        <f t="shared" si="155"/>
        <v>5.301653311092787</v>
      </c>
      <c r="HQ20" s="2">
        <f t="shared" si="156"/>
        <v>0.19698887485515187</v>
      </c>
      <c r="HR20" s="17">
        <f t="shared" si="157"/>
        <v>1175</v>
      </c>
      <c r="HS20" s="17"/>
      <c r="HT20" s="7">
        <f t="shared" si="158"/>
        <v>2.0622176522249553</v>
      </c>
      <c r="HU20" s="17">
        <f t="shared" si="159"/>
        <v>1860.5241459349334</v>
      </c>
      <c r="HV20" s="16">
        <f t="shared" si="160"/>
        <v>1.2745501279690936E-05</v>
      </c>
      <c r="HW20" s="1">
        <f t="shared" si="161"/>
        <v>0.5324848716105517</v>
      </c>
      <c r="HX20" s="1">
        <f t="shared" si="162"/>
        <v>11830.909597843132</v>
      </c>
      <c r="HY20" s="16">
        <f t="shared" si="163"/>
        <v>449.03178067834233</v>
      </c>
      <c r="HZ20" s="1">
        <f t="shared" si="164"/>
        <v>-0.07343924628440773</v>
      </c>
      <c r="IA20" s="1">
        <f t="shared" si="165"/>
        <v>12.044791960354802</v>
      </c>
      <c r="IB20" s="4">
        <f t="shared" si="166"/>
        <v>11.830909597843132</v>
      </c>
      <c r="IC20" s="17">
        <f t="shared" si="167"/>
        <v>8482.233011733466</v>
      </c>
      <c r="ID20" s="16">
        <f t="shared" si="168"/>
        <v>450.2386189292214</v>
      </c>
      <c r="IE20" s="7">
        <f t="shared" si="169"/>
        <v>-0.05269993066039943</v>
      </c>
      <c r="IF20" s="7">
        <f t="shared" si="170"/>
        <v>12.065531275978811</v>
      </c>
      <c r="IG20" s="4">
        <f t="shared" si="171"/>
        <v>8.482233011733467</v>
      </c>
      <c r="IH20" s="17">
        <f t="shared" si="172"/>
        <v>10487.59335227247</v>
      </c>
      <c r="II20" s="4">
        <f t="shared" si="173"/>
        <v>449.5141828148904</v>
      </c>
      <c r="IJ20" s="7">
        <f t="shared" si="174"/>
        <v>-0.06512417405688666</v>
      </c>
      <c r="IK20" s="7">
        <f t="shared" si="175"/>
        <v>12.053107032582323</v>
      </c>
      <c r="IL20" s="4">
        <f t="shared" si="176"/>
        <v>10.48759335227247</v>
      </c>
      <c r="IN20" s="1">
        <f t="shared" si="177"/>
        <v>6.245825833234495</v>
      </c>
      <c r="IO20" s="1">
        <f t="shared" si="178"/>
        <v>6.546985938526149</v>
      </c>
    </row>
    <row r="21" spans="1:249" ht="12.75">
      <c r="A21" s="1" t="s">
        <v>131</v>
      </c>
      <c r="B21" s="85" t="s">
        <v>132</v>
      </c>
      <c r="C21" s="3">
        <v>1.2</v>
      </c>
      <c r="D21" s="3">
        <v>1290</v>
      </c>
      <c r="F21" s="1">
        <v>4274</v>
      </c>
      <c r="G21" s="33">
        <v>48.8</v>
      </c>
      <c r="H21" s="33">
        <v>0.58</v>
      </c>
      <c r="I21" s="33">
        <v>19.2</v>
      </c>
      <c r="J21" s="33">
        <v>8.49</v>
      </c>
      <c r="K21" s="33">
        <v>0.2</v>
      </c>
      <c r="L21" s="33">
        <v>10.1</v>
      </c>
      <c r="M21" s="33">
        <v>11.6</v>
      </c>
      <c r="N21" s="33">
        <v>2.74</v>
      </c>
      <c r="O21" s="33">
        <v>0.08</v>
      </c>
      <c r="P21" s="33">
        <v>0</v>
      </c>
      <c r="Q21" s="33">
        <v>0.16</v>
      </c>
      <c r="R21" s="33">
        <v>0</v>
      </c>
      <c r="S21" s="4">
        <f t="shared" si="2"/>
        <v>101.94999999999997</v>
      </c>
      <c r="U21" s="33">
        <v>49.3</v>
      </c>
      <c r="V21" s="33">
        <v>0.37</v>
      </c>
      <c r="W21" s="33">
        <v>11.8</v>
      </c>
      <c r="X21" s="33">
        <v>5.11</v>
      </c>
      <c r="Y21" s="33">
        <v>0.14</v>
      </c>
      <c r="Z21" s="33">
        <v>18.2</v>
      </c>
      <c r="AA21" s="33">
        <v>15.5</v>
      </c>
      <c r="AB21" s="33">
        <v>0.5</v>
      </c>
      <c r="AC21" s="33">
        <v>0</v>
      </c>
      <c r="AD21" s="33">
        <v>0.17</v>
      </c>
      <c r="AF21" s="53">
        <f t="shared" si="179"/>
        <v>1584.4539693495233</v>
      </c>
      <c r="AG21" s="53">
        <f t="shared" si="194"/>
        <v>13.578866598692018</v>
      </c>
      <c r="AI21" s="51">
        <f t="shared" si="3"/>
        <v>1584.4539693495233</v>
      </c>
      <c r="AJ21" s="51">
        <f>IF(AI21&gt;0,AI21-273.15,0)</f>
        <v>1311.3039693495234</v>
      </c>
      <c r="AK21" s="51">
        <f t="shared" si="180"/>
        <v>1585.9346315355751</v>
      </c>
      <c r="AL21" s="51">
        <f t="shared" si="5"/>
        <v>1312.784631535575</v>
      </c>
      <c r="AM21" s="51">
        <f t="shared" si="6"/>
        <v>13.578866598692018</v>
      </c>
      <c r="AN21" s="51"/>
      <c r="AO21" s="51">
        <f t="shared" si="181"/>
        <v>1596.2668535825253</v>
      </c>
      <c r="AP21" s="51">
        <f t="shared" si="182"/>
        <v>13.175258699415028</v>
      </c>
      <c r="AQ21" s="51">
        <f t="shared" si="183"/>
        <v>1323.1168535825254</v>
      </c>
      <c r="AR21" s="70"/>
      <c r="AS21" s="90">
        <f t="shared" si="7"/>
        <v>0.4021619218397459</v>
      </c>
      <c r="AT21" s="90">
        <f t="shared" si="8"/>
        <v>0.4057122272922745</v>
      </c>
      <c r="AU21" s="90">
        <f t="shared" si="9"/>
        <v>0.07214678386347181</v>
      </c>
      <c r="AV21" s="90">
        <f t="shared" si="10"/>
        <v>0.012425632312267166</v>
      </c>
      <c r="AW21" s="90">
        <f t="shared" si="11"/>
        <v>0.010909974911181355</v>
      </c>
      <c r="AX21" s="90">
        <f t="shared" si="184"/>
        <v>0</v>
      </c>
      <c r="AY21" s="51">
        <f t="shared" si="185"/>
        <v>0.9033565402189409</v>
      </c>
      <c r="AZ21" s="70"/>
      <c r="BA21" s="90">
        <f t="shared" si="12"/>
        <v>0.35791545357066246</v>
      </c>
      <c r="BB21" s="90">
        <f t="shared" si="0"/>
        <v>0.3790775153154122</v>
      </c>
      <c r="BC21" s="90">
        <f t="shared" si="1"/>
        <v>0.2117818841014245</v>
      </c>
      <c r="BD21" s="90">
        <f t="shared" si="13"/>
        <v>0.03445129881532189</v>
      </c>
      <c r="BE21" s="90">
        <f t="shared" si="14"/>
        <v>0.018106485860187704</v>
      </c>
      <c r="BF21" s="90">
        <f t="shared" si="15"/>
        <v>0.0023881408641986696</v>
      </c>
      <c r="BG21" s="90">
        <f t="shared" si="186"/>
        <v>1.0037207785272073</v>
      </c>
      <c r="BH21" s="90">
        <f t="shared" si="187"/>
        <v>0.3340128658149859</v>
      </c>
      <c r="BI21" s="70"/>
      <c r="BJ21" s="51">
        <f t="shared" si="16"/>
        <v>13.232984387713351</v>
      </c>
      <c r="BK21" s="51">
        <f t="shared" si="188"/>
        <v>14.496257927734012</v>
      </c>
      <c r="BL21" s="51">
        <f t="shared" si="17"/>
        <v>1297.5321886701436</v>
      </c>
      <c r="BM21" s="51">
        <f t="shared" si="18"/>
        <v>1310.74303649183</v>
      </c>
      <c r="BN21" s="51">
        <f t="shared" si="189"/>
        <v>1310.74303649183</v>
      </c>
      <c r="BO21" s="51"/>
      <c r="BP21" s="51">
        <f t="shared" si="19"/>
        <v>13.589154147696263</v>
      </c>
      <c r="BQ21" s="51">
        <f t="shared" si="20"/>
        <v>11.346913514801797</v>
      </c>
      <c r="BR21" s="51">
        <f t="shared" si="21"/>
        <v>14.19393143636535</v>
      </c>
      <c r="BS21" s="51">
        <f t="shared" si="22"/>
        <v>1313.4820378173313</v>
      </c>
      <c r="BT21" s="71">
        <f t="shared" si="190"/>
        <v>0.30363883119166374</v>
      </c>
      <c r="BU21" s="70"/>
      <c r="BV21" s="51">
        <f t="shared" si="23"/>
        <v>17.098445499293717</v>
      </c>
      <c r="BW21" s="51">
        <f t="shared" si="24"/>
        <v>18.461535606301833</v>
      </c>
      <c r="BX21" s="51">
        <f t="shared" si="25"/>
        <v>1302.1483049475023</v>
      </c>
      <c r="BY21" s="2"/>
      <c r="BZ21" s="1">
        <f t="shared" si="26"/>
        <v>0.812192203287714</v>
      </c>
      <c r="CA21" s="1">
        <f t="shared" si="27"/>
        <v>0.007261000415629678</v>
      </c>
      <c r="CB21" s="1">
        <f t="shared" si="28"/>
        <v>0.37661458793067937</v>
      </c>
      <c r="CC21" s="1">
        <f t="shared" si="29"/>
        <v>0.11816876002137894</v>
      </c>
      <c r="CD21" s="1">
        <f t="shared" si="30"/>
        <v>0.0028193832599118945</v>
      </c>
      <c r="CE21" s="1">
        <f t="shared" si="31"/>
        <v>0.2505929873661436</v>
      </c>
      <c r="CF21" s="1">
        <f t="shared" si="32"/>
        <v>0.20685695128518797</v>
      </c>
      <c r="CG21" s="1">
        <f t="shared" si="33"/>
        <v>0.08841718713949424</v>
      </c>
      <c r="CH21" s="1">
        <f t="shared" si="34"/>
        <v>0.001698585927215593</v>
      </c>
      <c r="CI21" s="1">
        <f t="shared" si="35"/>
        <v>0</v>
      </c>
      <c r="CJ21" s="1">
        <f t="shared" si="36"/>
        <v>0.00225452137215807</v>
      </c>
      <c r="CK21" s="1">
        <f>SUM(BZ21:CJ21)</f>
        <v>1.8668761680055135</v>
      </c>
      <c r="CM21" s="1">
        <f t="shared" si="38"/>
        <v>0.43505413867670917</v>
      </c>
      <c r="CN21" s="1">
        <f t="shared" si="39"/>
        <v>0.0038893851344125327</v>
      </c>
      <c r="CO21" s="1">
        <f t="shared" si="40"/>
        <v>0.20173517364734345</v>
      </c>
      <c r="CP21" s="1">
        <f t="shared" si="41"/>
        <v>0.06329758879916772</v>
      </c>
      <c r="CQ21" s="1">
        <f t="shared" si="42"/>
        <v>0.001510214393557767</v>
      </c>
      <c r="CR21" s="1">
        <f t="shared" si="43"/>
        <v>0.13423117808283228</v>
      </c>
      <c r="CS21" s="1">
        <f t="shared" si="44"/>
        <v>0.11080378807673388</v>
      </c>
      <c r="CT21" s="1">
        <f t="shared" si="45"/>
        <v>0.047361034788909</v>
      </c>
      <c r="CU21" s="1">
        <f t="shared" si="46"/>
        <v>0.0009098546311351147</v>
      </c>
      <c r="CV21" s="1">
        <f t="shared" si="47"/>
        <v>0</v>
      </c>
      <c r="CW21" s="1">
        <f t="shared" si="48"/>
        <v>0.0012076437691990569</v>
      </c>
      <c r="CX21" s="1">
        <f>SUM(CM21:CW21)</f>
        <v>0.9999999999999999</v>
      </c>
      <c r="CZ21" s="1">
        <f t="shared" si="50"/>
        <v>0.8205138447148422</v>
      </c>
      <c r="DA21" s="1">
        <f t="shared" si="51"/>
        <v>0.004632017506522382</v>
      </c>
      <c r="DB21" s="1">
        <f t="shared" si="52"/>
        <v>0.11573052441619835</v>
      </c>
      <c r="DC21" s="1">
        <f t="shared" si="53"/>
        <v>0.07112395332264386</v>
      </c>
      <c r="DD21" s="1">
        <f t="shared" si="54"/>
        <v>0.001973568281938326</v>
      </c>
      <c r="DE21" s="1">
        <f t="shared" si="55"/>
        <v>0.45156360099641724</v>
      </c>
      <c r="DF21" s="1">
        <f t="shared" si="56"/>
        <v>0.27640368490693223</v>
      </c>
      <c r="DG21" s="1">
        <f t="shared" si="57"/>
        <v>0.008067261600318818</v>
      </c>
      <c r="DH21" s="1">
        <f t="shared" si="58"/>
        <v>0</v>
      </c>
      <c r="DI21" s="1">
        <f t="shared" si="59"/>
        <v>0.001118434297248257</v>
      </c>
      <c r="DJ21" s="1">
        <f>SUM(CZ21:DI21)</f>
        <v>1.7511268900430619</v>
      </c>
      <c r="DL21" s="1">
        <f>CZ21*2</f>
        <v>1.6410276894296845</v>
      </c>
      <c r="DM21" s="1">
        <f>DA21*2</f>
        <v>0.009264035013044764</v>
      </c>
      <c r="DN21" s="1">
        <f>DB21*3</f>
        <v>0.34719157324859506</v>
      </c>
      <c r="DO21" s="1">
        <f aca="true" t="shared" si="195" ref="DO21:DT21">DC21</f>
        <v>0.07112395332264386</v>
      </c>
      <c r="DP21" s="1">
        <f t="shared" si="195"/>
        <v>0.001973568281938326</v>
      </c>
      <c r="DQ21" s="1">
        <f t="shared" si="195"/>
        <v>0.45156360099641724</v>
      </c>
      <c r="DR21" s="1">
        <f t="shared" si="195"/>
        <v>0.27640368490693223</v>
      </c>
      <c r="DS21" s="1">
        <f t="shared" si="195"/>
        <v>0.008067261600318818</v>
      </c>
      <c r="DT21" s="1">
        <f t="shared" si="195"/>
        <v>0</v>
      </c>
      <c r="DU21" s="1">
        <f>DI21*3</f>
        <v>0.003355302891744771</v>
      </c>
      <c r="DV21" s="1">
        <f>SUM(DL21:DU21)</f>
        <v>2.8099706696913196</v>
      </c>
      <c r="DW21" s="1">
        <f>6/DV21</f>
        <v>2.135253604144954</v>
      </c>
      <c r="DY21" s="1">
        <f t="shared" si="67"/>
        <v>1.7520051441782</v>
      </c>
      <c r="DZ21" s="1">
        <f t="shared" si="68"/>
        <v>0.00989053207526444</v>
      </c>
      <c r="EA21" s="1">
        <f>2-DY21</f>
        <v>0.24799485582179992</v>
      </c>
      <c r="EB21" s="1">
        <f>IF(EC21-EA21&lt;0,0,EC21-EA21)</f>
        <v>0.2462331829167464</v>
      </c>
      <c r="EC21" s="1">
        <f t="shared" si="71"/>
        <v>0.4942280387385463</v>
      </c>
      <c r="ED21" s="1">
        <f t="shared" si="72"/>
        <v>0.1518676776732128</v>
      </c>
      <c r="EE21" s="1">
        <f t="shared" si="73"/>
        <v>0.004214068787034976</v>
      </c>
      <c r="EF21" s="1">
        <f t="shared" si="74"/>
        <v>0.964202806528274</v>
      </c>
      <c r="EG21" s="1">
        <f t="shared" si="75"/>
        <v>0.5901919643964734</v>
      </c>
      <c r="EH21" s="1">
        <f t="shared" si="76"/>
        <v>0.03445129881532189</v>
      </c>
      <c r="EI21" s="1">
        <f t="shared" si="77"/>
        <v>0</v>
      </c>
      <c r="EJ21" s="1">
        <f t="shared" si="78"/>
        <v>0.004776281728397339</v>
      </c>
      <c r="EK21" s="1">
        <f>DY21+DZ21+EC21+ED21+EE21+EF21+EG21+EH21+EI21+EJ21</f>
        <v>4.005827812920725</v>
      </c>
      <c r="EL21" s="1">
        <f>IF(EH21+EA21-EB21-2*DZ21-EJ21&gt;0,EH21+EA21-EB21-2*DZ21-EJ21,0)</f>
        <v>0.011655625841449191</v>
      </c>
      <c r="EM21" s="1">
        <f>12-48/EK21</f>
        <v>0.01745800326792235</v>
      </c>
      <c r="EN21" s="1">
        <f>IF(EH21&lt;EB21,EH21,EB21)</f>
        <v>0.03445129881532189</v>
      </c>
      <c r="EO21" s="1">
        <f>IF(EB21&gt;EH21,EB21-EH21,0)</f>
        <v>0.2117818841014245</v>
      </c>
      <c r="EP21" s="1">
        <f>IF(EA21&gt;EO21,(EA21-EO21)/2,0)</f>
        <v>0.018106485860187704</v>
      </c>
      <c r="EQ21" s="1">
        <f>EJ21/2</f>
        <v>0.0023881408641986696</v>
      </c>
      <c r="ER21" s="2">
        <f>IF(EG21-EP21-EO21-EQ21&gt;0,EG21-EP21-EO21-EQ21,0)</f>
        <v>0.35791545357066246</v>
      </c>
      <c r="ES21" s="1">
        <f>((ED21+EF21)-ER21)/2</f>
        <v>0.3790775153154122</v>
      </c>
      <c r="ET21" s="1">
        <f>SUM(EN21:ES21)</f>
        <v>1.0037207785272075</v>
      </c>
      <c r="EU21" s="1">
        <f>EG21-EO21-EP21-EQ21</f>
        <v>0.35791545357066246</v>
      </c>
      <c r="EV21" s="1">
        <f>LN(EN21/(CM21^2*CT21*CO21))</f>
        <v>2.9471159195329837</v>
      </c>
      <c r="EW21" s="1">
        <f>LN(EN21*CS21*(CP21+CR21)/(ER21*CT21*CO21))</f>
        <v>-1.51186056158727</v>
      </c>
      <c r="EX21" s="1">
        <f>LN((EN21*CS21*(CP21+CR21))/(CT21*CO21*EU21))</f>
        <v>-1.51186056158727</v>
      </c>
      <c r="EY21" s="1">
        <f>CR21/(CR21+CP21)</f>
        <v>0.6795525543022272</v>
      </c>
      <c r="EZ21" s="84">
        <f t="shared" si="191"/>
        <v>1584.4539693495233</v>
      </c>
      <c r="FA21" s="84">
        <f t="shared" si="192"/>
        <v>13.578866598692018</v>
      </c>
      <c r="FB21" s="1">
        <f t="shared" si="193"/>
        <v>0.15844539693495233</v>
      </c>
      <c r="FC21" s="2">
        <f t="shared" si="94"/>
        <v>-1.0616569925815915</v>
      </c>
      <c r="FD21" s="2">
        <f t="shared" si="95"/>
        <v>5.612072559924399</v>
      </c>
      <c r="FE21" s="1">
        <f t="shared" si="96"/>
        <v>12.923324489965964</v>
      </c>
      <c r="FF21" s="1">
        <f>(1-EG21-EH21-EI21)*(1-0.5*(EC21+EJ21+EH21+EI21))</f>
        <v>0.2752386565506437</v>
      </c>
      <c r="FG21" s="2"/>
      <c r="FH21" s="2">
        <f t="shared" si="98"/>
        <v>16.090127836835666</v>
      </c>
      <c r="FI21" s="2">
        <f t="shared" si="99"/>
        <v>0.2991822008616515</v>
      </c>
      <c r="FJ21" s="2">
        <f>(ED21/EF21)/(CP21/CR21)</f>
        <v>0.3340128658149859</v>
      </c>
      <c r="FK21" s="1">
        <f>EG21+EH21+EE21</f>
        <v>0.6288573319988303</v>
      </c>
      <c r="FL21" s="1">
        <f>EB21+DZ21+EJ21+EL21</f>
        <v>0.27255562256185734</v>
      </c>
      <c r="FM21" s="1">
        <f>EXP(0.238*FL21+0.289*FK21-2.3315)</f>
        <v>0.12432054694457959</v>
      </c>
      <c r="FN21" s="1">
        <f>1-DZ21-EB21</f>
        <v>0.7438762850079892</v>
      </c>
      <c r="FO21" s="1">
        <f t="shared" si="105"/>
        <v>0.3605385733520483</v>
      </c>
      <c r="FP21" s="1">
        <f>ED21-EL21</f>
        <v>0.1402120518317636</v>
      </c>
      <c r="FQ21" s="1">
        <f>1-FM21</f>
        <v>0.8756794530554204</v>
      </c>
      <c r="FR21" s="1">
        <f t="shared" si="108"/>
        <v>0.5850842806256511</v>
      </c>
      <c r="FS21" s="1">
        <f>-FP21*(1-FK21)</f>
        <v>-0.052038675002759036</v>
      </c>
      <c r="FT21" s="1">
        <f>(-FR21+SQRT(FR21^2-4*FQ21*FS21))/2*FQ21</f>
        <v>0.060951125587917016</v>
      </c>
      <c r="FU21" s="1">
        <f>FT21</f>
        <v>0.060951125587917016</v>
      </c>
      <c r="FV21" s="1">
        <f>FP21-FU21</f>
        <v>0.07926092624384659</v>
      </c>
      <c r="FW21" s="1">
        <f>1-FK21-FU21</f>
        <v>0.31019154241325264</v>
      </c>
      <c r="FX21" s="1">
        <f t="shared" si="114"/>
        <v>0.6540112641150213</v>
      </c>
      <c r="FY21" s="1">
        <f t="shared" si="115"/>
        <v>0.5901919643964734</v>
      </c>
      <c r="FZ21" s="1">
        <f t="shared" si="116"/>
        <v>0.03445129881532189</v>
      </c>
      <c r="GA21" s="1">
        <f t="shared" si="117"/>
        <v>430.0372299348713</v>
      </c>
      <c r="GB21" s="1">
        <f t="shared" si="118"/>
        <v>11.404452727366975</v>
      </c>
      <c r="GC21" s="1">
        <f t="shared" si="119"/>
        <v>2.2941017804785724</v>
      </c>
      <c r="GD21" s="1">
        <f>32.9*(0.75*GC21/6)*(10^-6)</f>
        <v>9.434493572218129E-06</v>
      </c>
      <c r="GE21" s="1">
        <f>7500*GC21/((1.4133+0.05601*GB21)^3)</f>
        <v>1991.1392051570974</v>
      </c>
      <c r="GF21" s="1">
        <f t="shared" si="122"/>
        <v>0.4157669604169188</v>
      </c>
      <c r="GG21" s="2">
        <f t="shared" si="123"/>
        <v>27.168556436365343</v>
      </c>
      <c r="GH21" s="4">
        <f>IG21</f>
        <v>17.435924197784036</v>
      </c>
      <c r="GI21" s="4">
        <f>IL21</f>
        <v>21.441485278491182</v>
      </c>
      <c r="GJ21" s="4">
        <f t="shared" si="126"/>
        <v>2.8200000000000003</v>
      </c>
      <c r="GK21" s="4">
        <f t="shared" si="127"/>
        <v>4.327832319999999</v>
      </c>
      <c r="GL21" s="4">
        <f>IF(GJ21&gt;GK21,GI21,GH21)</f>
        <v>17.435924197784036</v>
      </c>
      <c r="GM21" s="1">
        <f>GA21</f>
        <v>430.0372299348713</v>
      </c>
      <c r="GN21" s="1">
        <f>GB21</f>
        <v>11.404452727366975</v>
      </c>
      <c r="GO21" s="4">
        <f>771.475-(1.323*GM21)-(16.064*GN21)</f>
        <v>19.33461618374224</v>
      </c>
      <c r="GP21" s="4"/>
      <c r="GQ21" s="7">
        <f t="shared" si="131"/>
        <v>0.1444261206187986</v>
      </c>
      <c r="GR21" s="7">
        <f>FW21+FX21</f>
        <v>0.964202806528274</v>
      </c>
      <c r="GS21" s="7">
        <f>IF(EH21&gt;EL21,EL21,EH21)</f>
        <v>0.011655625841449191</v>
      </c>
      <c r="GT21" s="7">
        <f t="shared" si="134"/>
        <v>0.0227956729738727</v>
      </c>
      <c r="GU21" s="7">
        <f t="shared" si="135"/>
        <v>0</v>
      </c>
      <c r="GV21" s="7">
        <f t="shared" si="136"/>
        <v>0.0227956729738727</v>
      </c>
      <c r="GW21" s="7">
        <f>GT21-GV21</f>
        <v>0</v>
      </c>
      <c r="GX21" s="7">
        <f t="shared" si="138"/>
        <v>0.2234375099428737</v>
      </c>
      <c r="GY21" s="7">
        <f t="shared" si="139"/>
        <v>0.24799485582179992</v>
      </c>
      <c r="GZ21" s="7">
        <f>GQ21/(GQ21+GR21)</f>
        <v>0.13027453738778258</v>
      </c>
      <c r="HA21" s="7">
        <f t="shared" si="141"/>
        <v>0.29761753855967105</v>
      </c>
      <c r="HB21" s="7">
        <f t="shared" si="142"/>
        <v>0.044579570015002394</v>
      </c>
      <c r="HC21" s="7">
        <f>(1-GS21-GV21-GU21-GY21-HA21-HB21)*(1-GZ21)</f>
        <v>0.32645731154773366</v>
      </c>
      <c r="HD21" s="7">
        <f>(1-GS21-GV21-GU21-GY21-HA21-HB21)*GZ21</f>
        <v>0.048899425240471035</v>
      </c>
      <c r="HE21" s="7">
        <f>GV21+GS21</f>
        <v>0.03445129881532189</v>
      </c>
      <c r="HF21" s="7"/>
      <c r="HG21" s="16">
        <f>(-0.000000872*HA21)-(0.000000749*HC21)-(0.000000993*HB21)-(0.00000087*(GY21+GU21))-(0.00000086*HE21)-(0.00000087*HD21)</f>
        <v>-8.362326745035357E-07</v>
      </c>
      <c r="HH21" s="16">
        <f>(0.000000000001707*HA21)+(0.000000000000447*HC21)+(0.0000000000014835*HB21)+(0.000000000002171*(GY21+GU21))+(0.000000000002149*HE21)+(0.0000000000002235*HD21)</f>
        <v>1.3434550433849512E-12</v>
      </c>
      <c r="HI21" s="16">
        <f>(0.000027795*HA21)+(0.000024656*HC21)+(0.000031371*HB21)+(0.00002225*(GY21+GU21))+(0.000023118*HE21)+(0.000028232*HD21)</f>
        <v>2.5414775890164256E-05</v>
      </c>
      <c r="HJ21" s="16">
        <f>(0.0000000083082*HA21)+(0.000000007467*HC21)+(0.0000000083672*HB21)+(0.0000000052863*(GY21+GU21))+(0.0000000025785*HE21)+(0.000000007526*HD21)</f>
        <v>7.051153912103788E-09</v>
      </c>
      <c r="HK21" s="7">
        <f>GC21</f>
        <v>2.2941017804785724</v>
      </c>
      <c r="HL21" s="7">
        <f t="shared" si="151"/>
        <v>448.71104226849707</v>
      </c>
      <c r="HM21" s="7">
        <f t="shared" si="152"/>
        <v>11.258125166914065</v>
      </c>
      <c r="HN21" s="7">
        <f t="shared" si="153"/>
        <v>448.7106283752862</v>
      </c>
      <c r="HO21" s="7">
        <f t="shared" si="154"/>
        <v>12.409115367259258</v>
      </c>
      <c r="HP21" s="7">
        <f t="shared" si="155"/>
        <v>11.258125166914065</v>
      </c>
      <c r="HQ21" s="2">
        <f>(1-EG21-EH21-EI21)*(1-0.5*(EC21+EJ21+EH21+EI21))</f>
        <v>0.2752386565506437</v>
      </c>
      <c r="HR21" s="17">
        <f t="shared" si="157"/>
        <v>1265</v>
      </c>
      <c r="HS21" s="17"/>
      <c r="HT21" s="7">
        <f>1.4133+(0.05601*GN21)</f>
        <v>2.052063397259824</v>
      </c>
      <c r="HU21" s="17">
        <f t="shared" si="159"/>
        <v>1991.1392051570974</v>
      </c>
      <c r="HV21" s="16">
        <f>0.0000329*(0.75-HK21/6)</f>
        <v>1.2095675237042496E-05</v>
      </c>
      <c r="HW21" s="1">
        <f t="shared" si="161"/>
        <v>0.5357969590679674</v>
      </c>
      <c r="HX21" s="1">
        <f>IF(IB21&gt;0,1000*IB21,0)</f>
        <v>24454.43116217514</v>
      </c>
      <c r="HY21" s="16">
        <f t="shared" si="163"/>
        <v>440.2665004998022</v>
      </c>
      <c r="HZ21" s="1">
        <f t="shared" si="164"/>
        <v>-0.13921038172383624</v>
      </c>
      <c r="IA21" s="1">
        <f t="shared" si="165"/>
        <v>11.801039304711106</v>
      </c>
      <c r="IB21" s="4">
        <f>654.472-(1.186*HY21)-(9.14*IA21)</f>
        <v>24.45443116217514</v>
      </c>
      <c r="IC21" s="17">
        <f>IF(IG21&gt;0,1000*IG21,0)</f>
        <v>17435.924197784036</v>
      </c>
      <c r="ID21" s="16">
        <f t="shared" si="168"/>
        <v>442.6205753221897</v>
      </c>
      <c r="IE21" s="7">
        <f t="shared" si="169"/>
        <v>-0.0994306876147664</v>
      </c>
      <c r="IF21" s="7">
        <f t="shared" si="170"/>
        <v>11.840818998820176</v>
      </c>
      <c r="IG21" s="4">
        <f t="shared" si="171"/>
        <v>17.435924197784036</v>
      </c>
      <c r="IH21" s="17">
        <f>IF(IL21&gt;0,1000*IL21,0)</f>
        <v>21441.48527849118</v>
      </c>
      <c r="II21" s="4">
        <f t="shared" si="173"/>
        <v>441.2700991376146</v>
      </c>
      <c r="IJ21" s="7">
        <f t="shared" si="174"/>
        <v>-0.12215060575654398</v>
      </c>
      <c r="IK21" s="7">
        <f t="shared" si="175"/>
        <v>11.8180990806784</v>
      </c>
      <c r="IL21" s="4">
        <f t="shared" si="176"/>
        <v>21.441485278491182</v>
      </c>
      <c r="IN21" s="1">
        <f t="shared" si="177"/>
        <v>13.187777569853058</v>
      </c>
      <c r="IO21" s="1">
        <f t="shared" si="178"/>
        <v>13.806079100748974</v>
      </c>
    </row>
    <row r="22" spans="1:249" ht="12.75">
      <c r="A22" s="1" t="s">
        <v>200</v>
      </c>
      <c r="B22" s="85" t="s">
        <v>83</v>
      </c>
      <c r="C22" s="3">
        <v>0.9</v>
      </c>
      <c r="D22" s="3">
        <v>1220</v>
      </c>
      <c r="F22" s="1">
        <v>5196</v>
      </c>
      <c r="G22" s="33">
        <v>48.1</v>
      </c>
      <c r="H22" s="33">
        <v>1.35</v>
      </c>
      <c r="I22" s="33">
        <v>14.4</v>
      </c>
      <c r="J22" s="33">
        <v>13.4</v>
      </c>
      <c r="K22" s="33">
        <v>0.25</v>
      </c>
      <c r="L22" s="33">
        <v>7.91</v>
      </c>
      <c r="M22" s="33">
        <v>10.3</v>
      </c>
      <c r="N22" s="33">
        <v>2.36</v>
      </c>
      <c r="O22" s="33">
        <v>0.2</v>
      </c>
      <c r="P22" s="33">
        <v>0.04</v>
      </c>
      <c r="Q22" s="33">
        <v>0.11</v>
      </c>
      <c r="R22" s="33">
        <v>0</v>
      </c>
      <c r="S22" s="4">
        <f t="shared" si="2"/>
        <v>98.42</v>
      </c>
      <c r="U22" s="33">
        <v>51.6</v>
      </c>
      <c r="V22" s="33">
        <v>0.55</v>
      </c>
      <c r="W22" s="33">
        <v>4.79</v>
      </c>
      <c r="X22" s="33">
        <v>9.37</v>
      </c>
      <c r="Y22" s="33">
        <v>0.26</v>
      </c>
      <c r="Z22" s="33">
        <v>18.8</v>
      </c>
      <c r="AA22" s="33">
        <v>14.3</v>
      </c>
      <c r="AB22" s="33">
        <v>0.31</v>
      </c>
      <c r="AC22" s="33">
        <v>0</v>
      </c>
      <c r="AD22" s="33">
        <v>0.39</v>
      </c>
      <c r="AF22" s="53">
        <f t="shared" si="179"/>
        <v>1511.5459805422533</v>
      </c>
      <c r="AG22" s="53">
        <f t="shared" si="194"/>
        <v>8.358626529222164</v>
      </c>
      <c r="AI22" s="51">
        <f t="shared" si="3"/>
        <v>1511.5459805422533</v>
      </c>
      <c r="AJ22" s="51">
        <f aca="true" t="shared" si="196" ref="AJ22:AJ30">IF(AI22&gt;0,AI22-273.15,0)</f>
        <v>1238.3959805422533</v>
      </c>
      <c r="AK22" s="51">
        <f t="shared" si="180"/>
        <v>1506.8891030248321</v>
      </c>
      <c r="AL22" s="51">
        <f aca="true" t="shared" si="197" ref="AL22:AL30">IF(AK22&gt;0,AK22-273.15,0)</f>
        <v>1233.7391030248323</v>
      </c>
      <c r="AM22" s="51">
        <f t="shared" si="6"/>
        <v>8.358626529222164</v>
      </c>
      <c r="AN22" s="51"/>
      <c r="AO22" s="51">
        <f t="shared" si="181"/>
        <v>1539.9225461544215</v>
      </c>
      <c r="AP22" s="51">
        <f t="shared" si="182"/>
        <v>8.254271307123028</v>
      </c>
      <c r="AQ22" s="51">
        <f t="shared" si="183"/>
        <v>1266.7725461544214</v>
      </c>
      <c r="AR22" s="70"/>
      <c r="AS22" s="90">
        <f t="shared" si="7"/>
        <v>0.4149691371267791</v>
      </c>
      <c r="AT22" s="90">
        <f t="shared" si="8"/>
        <v>0.47903399217581577</v>
      </c>
      <c r="AU22" s="90">
        <f t="shared" si="9"/>
        <v>0.03912547150638651</v>
      </c>
      <c r="AV22" s="90">
        <f t="shared" si="10"/>
        <v>0.010742178253983192</v>
      </c>
      <c r="AW22" s="90">
        <f t="shared" si="11"/>
        <v>0.014689319769409594</v>
      </c>
      <c r="AX22" s="90">
        <f t="shared" si="184"/>
        <v>0.001564684703539329</v>
      </c>
      <c r="AY22" s="51">
        <f t="shared" si="185"/>
        <v>0.9601247835359135</v>
      </c>
      <c r="AZ22" s="70"/>
      <c r="BA22" s="90">
        <f t="shared" si="12"/>
        <v>0.46077612106366067</v>
      </c>
      <c r="BB22" s="90">
        <f t="shared" si="0"/>
        <v>0.4229899482917785</v>
      </c>
      <c r="BC22" s="90">
        <f t="shared" si="1"/>
        <v>0.06401102900554477</v>
      </c>
      <c r="BD22" s="90">
        <f t="shared" si="13"/>
        <v>0.0219010257970748</v>
      </c>
      <c r="BE22" s="90">
        <f t="shared" si="14"/>
        <v>0.027891717397766476</v>
      </c>
      <c r="BF22" s="90">
        <f t="shared" si="15"/>
        <v>0.005617496279263924</v>
      </c>
      <c r="BG22" s="90">
        <f t="shared" si="186"/>
        <v>1.0031873378350893</v>
      </c>
      <c r="BH22" s="90">
        <f t="shared" si="187"/>
        <v>0.2942072880279454</v>
      </c>
      <c r="BI22" s="70"/>
      <c r="BJ22" s="51">
        <f t="shared" si="16"/>
        <v>7.853595148769618</v>
      </c>
      <c r="BK22" s="51">
        <f t="shared" si="188"/>
        <v>8.80469391496666</v>
      </c>
      <c r="BL22" s="51">
        <f t="shared" si="17"/>
        <v>1229.2595252297833</v>
      </c>
      <c r="BM22" s="51">
        <f t="shared" si="18"/>
        <v>1241.9600306034772</v>
      </c>
      <c r="BN22" s="51">
        <f t="shared" si="189"/>
        <v>1241.9600306034772</v>
      </c>
      <c r="BO22" s="51"/>
      <c r="BP22" s="51">
        <f t="shared" si="19"/>
        <v>9.91334486031974</v>
      </c>
      <c r="BQ22" s="51">
        <f t="shared" si="20"/>
        <v>7.7400369966997395</v>
      </c>
      <c r="BR22" s="51">
        <f t="shared" si="21"/>
        <v>7.990409553770204</v>
      </c>
      <c r="BS22" s="51">
        <f t="shared" si="22"/>
        <v>1229.8091209506592</v>
      </c>
      <c r="BT22" s="71">
        <f t="shared" si="190"/>
        <v>0.2881580250389466</v>
      </c>
      <c r="BU22" s="70"/>
      <c r="BV22" s="51">
        <f t="shared" si="23"/>
        <v>5.4209652606066845</v>
      </c>
      <c r="BW22" s="51">
        <f t="shared" si="24"/>
        <v>6.1647554103376265</v>
      </c>
      <c r="BX22" s="51">
        <f t="shared" si="25"/>
        <v>1243.6785161572002</v>
      </c>
      <c r="BY22" s="2"/>
      <c r="BZ22" s="1">
        <f t="shared" si="26"/>
        <v>0.8005419052897347</v>
      </c>
      <c r="CA22" s="1">
        <f t="shared" si="27"/>
        <v>0.01690060441568977</v>
      </c>
      <c r="CB22" s="1">
        <f t="shared" si="28"/>
        <v>0.28246094094800955</v>
      </c>
      <c r="CC22" s="1">
        <f t="shared" si="29"/>
        <v>0.1865089969713166</v>
      </c>
      <c r="CD22" s="1">
        <f t="shared" si="30"/>
        <v>0.003524229074889868</v>
      </c>
      <c r="CE22" s="1">
        <f t="shared" si="31"/>
        <v>0.19625648812536597</v>
      </c>
      <c r="CF22" s="1">
        <f t="shared" si="32"/>
        <v>0.1836747067446066</v>
      </c>
      <c r="CG22" s="1">
        <f t="shared" si="33"/>
        <v>0.07615494950700964</v>
      </c>
      <c r="CH22" s="1">
        <f t="shared" si="34"/>
        <v>0.004246464818038983</v>
      </c>
      <c r="CI22" s="1">
        <f t="shared" si="35"/>
        <v>0.0005263220222344739</v>
      </c>
      <c r="CJ22" s="1">
        <f t="shared" si="36"/>
        <v>0.0015499834433586731</v>
      </c>
      <c r="CK22" s="1">
        <f aca="true" t="shared" si="198" ref="CK22:CK30">SUM(BZ22:CJ22)</f>
        <v>1.7523455913602546</v>
      </c>
      <c r="CM22" s="1">
        <f t="shared" si="38"/>
        <v>0.4568401970688417</v>
      </c>
      <c r="CN22" s="1">
        <f t="shared" si="39"/>
        <v>0.009644561266348559</v>
      </c>
      <c r="CO22" s="1">
        <f t="shared" si="40"/>
        <v>0.16119020262935113</v>
      </c>
      <c r="CP22" s="1">
        <f t="shared" si="41"/>
        <v>0.10643391228926445</v>
      </c>
      <c r="CQ22" s="1">
        <f t="shared" si="42"/>
        <v>0.0020111495656254612</v>
      </c>
      <c r="CR22" s="1">
        <f t="shared" si="43"/>
        <v>0.11199645155212921</v>
      </c>
      <c r="CS22" s="1">
        <f t="shared" si="44"/>
        <v>0.10481648577209561</v>
      </c>
      <c r="CT22" s="1">
        <f t="shared" si="45"/>
        <v>0.043458864440030075</v>
      </c>
      <c r="CU22" s="1">
        <f t="shared" si="46"/>
        <v>0.002423303279316424</v>
      </c>
      <c r="CV22" s="1">
        <f t="shared" si="47"/>
        <v>0.0003003528669398583</v>
      </c>
      <c r="CW22" s="1">
        <f t="shared" si="48"/>
        <v>0.000884519270057627</v>
      </c>
      <c r="CX22" s="1">
        <f aca="true" t="shared" si="199" ref="CX22:CX30">SUM(CM22:CW22)</f>
        <v>1</v>
      </c>
      <c r="CZ22" s="1">
        <f t="shared" si="50"/>
        <v>0.8587933952796322</v>
      </c>
      <c r="DA22" s="1">
        <f t="shared" si="51"/>
        <v>0.0068854314286143515</v>
      </c>
      <c r="DB22" s="1">
        <f t="shared" si="52"/>
        <v>0.04697874677572798</v>
      </c>
      <c r="DC22" s="1">
        <f t="shared" si="53"/>
        <v>0.13041711206128628</v>
      </c>
      <c r="DD22" s="1">
        <f t="shared" si="54"/>
        <v>0.003665198237885463</v>
      </c>
      <c r="DE22" s="1">
        <f t="shared" si="55"/>
        <v>0.4664503131171783</v>
      </c>
      <c r="DF22" s="1">
        <f t="shared" si="56"/>
        <v>0.2550046899463955</v>
      </c>
      <c r="DG22" s="1">
        <f t="shared" si="57"/>
        <v>0.005001702192197667</v>
      </c>
      <c r="DH22" s="1">
        <f t="shared" si="58"/>
        <v>0</v>
      </c>
      <c r="DI22" s="1">
        <f t="shared" si="59"/>
        <v>0.00256581985839306</v>
      </c>
      <c r="DJ22" s="1">
        <f aca="true" t="shared" si="200" ref="DJ22:DJ30">SUM(CZ22:DI22)</f>
        <v>1.775762408897311</v>
      </c>
      <c r="DL22" s="1">
        <f aca="true" t="shared" si="201" ref="DL22:DM36">CZ22*2</f>
        <v>1.7175867905592643</v>
      </c>
      <c r="DM22" s="1">
        <f t="shared" si="201"/>
        <v>0.013770862857228703</v>
      </c>
      <c r="DN22" s="1">
        <f aca="true" t="shared" si="202" ref="DN22:DN30">DB22*3</f>
        <v>0.14093624032718394</v>
      </c>
      <c r="DO22" s="1">
        <f aca="true" t="shared" si="203" ref="DO22:DQ36">DC22</f>
        <v>0.13041711206128628</v>
      </c>
      <c r="DP22" s="1">
        <f t="shared" si="203"/>
        <v>0.003665198237885463</v>
      </c>
      <c r="DQ22" s="1">
        <f t="shared" si="203"/>
        <v>0.4664503131171783</v>
      </c>
      <c r="DR22" s="1">
        <f aca="true" t="shared" si="204" ref="DR22:DT36">DF22</f>
        <v>0.2550046899463955</v>
      </c>
      <c r="DS22" s="1">
        <f t="shared" si="204"/>
        <v>0.005001702192197667</v>
      </c>
      <c r="DT22" s="1">
        <f t="shared" si="204"/>
        <v>0</v>
      </c>
      <c r="DU22" s="1">
        <f aca="true" t="shared" si="205" ref="DU22:DU30">DI22*3</f>
        <v>0.007697459575179181</v>
      </c>
      <c r="DV22" s="1">
        <f aca="true" t="shared" si="206" ref="DV22:DV30">SUM(DL22:DU22)</f>
        <v>2.7405303688737996</v>
      </c>
      <c r="DW22" s="1">
        <f aca="true" t="shared" si="207" ref="DW22:DW30">6/DV22</f>
        <v>2.1893572383456763</v>
      </c>
      <c r="DY22" s="1">
        <f t="shared" si="67"/>
        <v>1.8802055361989223</v>
      </c>
      <c r="DZ22" s="1">
        <f t="shared" si="68"/>
        <v>0.01507466913736964</v>
      </c>
      <c r="EA22" s="1">
        <f aca="true" t="shared" si="208" ref="EA22:EA30">2-DY22</f>
        <v>0.11979446380107772</v>
      </c>
      <c r="EB22" s="1">
        <f aca="true" t="shared" si="209" ref="EB22:EB31">IF(EC22-EA22&lt;0,0,EC22-EA22)</f>
        <v>0.08591205480261957</v>
      </c>
      <c r="EC22" s="1">
        <f t="shared" si="71"/>
        <v>0.2057065186036973</v>
      </c>
      <c r="ED22" s="1">
        <f t="shared" si="72"/>
        <v>0.2855296482955163</v>
      </c>
      <c r="EE22" s="1">
        <f t="shared" si="73"/>
        <v>0.008024428292086355</v>
      </c>
      <c r="EF22" s="1">
        <f t="shared" si="74"/>
        <v>1.0212263693517014</v>
      </c>
      <c r="EG22" s="1">
        <f t="shared" si="75"/>
        <v>0.5582963637462359</v>
      </c>
      <c r="EH22" s="1">
        <f t="shared" si="76"/>
        <v>0.0219010257970748</v>
      </c>
      <c r="EI22" s="1">
        <f t="shared" si="77"/>
        <v>0</v>
      </c>
      <c r="EJ22" s="1">
        <f t="shared" si="78"/>
        <v>0.011234992558527848</v>
      </c>
      <c r="EK22" s="1">
        <f aca="true" t="shared" si="210" ref="EK22:EK31">DY22+DZ22+EC22+ED22+EE22+EF22+EG22+EH22+EI22+EJ22</f>
        <v>4.007199551981133</v>
      </c>
      <c r="EL22" s="1">
        <f aca="true" t="shared" si="211" ref="EL22:EL31">IF(EH22+EA22-EB22-2*DZ22-EJ22&gt;0,EH22+EA22-EB22-2*DZ22-EJ22,0)</f>
        <v>0.014399103962265836</v>
      </c>
      <c r="EM22" s="1">
        <f aca="true" t="shared" si="212" ref="EM22:EM31">12-48/EK22</f>
        <v>0.02155985062707444</v>
      </c>
      <c r="EN22" s="1">
        <f aca="true" t="shared" si="213" ref="EN22:EN30">IF(EH22&lt;EB22,EH22,EB22)</f>
        <v>0.0219010257970748</v>
      </c>
      <c r="EO22" s="1">
        <f aca="true" t="shared" si="214" ref="EO22:EO30">IF(EB22&gt;EH22,EB22-EH22,0)</f>
        <v>0.06401102900554477</v>
      </c>
      <c r="EP22" s="1">
        <f aca="true" t="shared" si="215" ref="EP22:EP30">IF(EA22&gt;EO22,(EA22-EO22)/2,0)</f>
        <v>0.027891717397766476</v>
      </c>
      <c r="EQ22" s="1">
        <f aca="true" t="shared" si="216" ref="EQ22:EQ30">EJ22/2</f>
        <v>0.005617496279263924</v>
      </c>
      <c r="ER22" s="2">
        <f aca="true" t="shared" si="217" ref="ER22:ER31">IF(EG22-EP22-EO22-EQ22&gt;0,EG22-EP22-EO22-EQ22,0)</f>
        <v>0.46077612106366067</v>
      </c>
      <c r="ES22" s="1">
        <f aca="true" t="shared" si="218" ref="ES22:ES30">((ED22+EF22)-ER22)/2</f>
        <v>0.4229899482917785</v>
      </c>
      <c r="ET22" s="1">
        <f aca="true" t="shared" si="219" ref="ET22:ET30">SUM(EN22:ES22)</f>
        <v>1.003187337835089</v>
      </c>
      <c r="EU22" s="1">
        <f aca="true" t="shared" si="220" ref="EU22:EU30">EG22-EO22-EP22-EQ22</f>
        <v>0.4607761210636607</v>
      </c>
      <c r="EV22" s="1">
        <f aca="true" t="shared" si="221" ref="EV22:EV30">LN(EN22/(CM22^2*CT22*CO22))</f>
        <v>2.706732113483178</v>
      </c>
      <c r="EW22" s="1">
        <f aca="true" t="shared" si="222" ref="EW22:EW30">LN(EN22*CS22*(CP22+CR22)/(ER22*CT22*CO22))</f>
        <v>-1.862100378495302</v>
      </c>
      <c r="EX22" s="1">
        <f aca="true" t="shared" si="223" ref="EX22:EX30">LN((EN22*CS22*(CP22+CR22))/(CT22*CO22*EU22))</f>
        <v>-1.8621003784953023</v>
      </c>
      <c r="EY22" s="1">
        <f aca="true" t="shared" si="224" ref="EY22:EY30">CR22/(CR22+CP22)</f>
        <v>0.5127329808114586</v>
      </c>
      <c r="EZ22" s="84">
        <f t="shared" si="191"/>
        <v>1511.5459805422533</v>
      </c>
      <c r="FA22" s="84">
        <f t="shared" si="192"/>
        <v>8.358626529222164</v>
      </c>
      <c r="FB22" s="1">
        <f t="shared" si="193"/>
        <v>0.15115459805422535</v>
      </c>
      <c r="FC22" s="2">
        <f t="shared" si="94"/>
        <v>-0.6831347121273651</v>
      </c>
      <c r="FD22" s="2">
        <f t="shared" si="95"/>
        <v>5.596887263209731</v>
      </c>
      <c r="FE22" s="1">
        <f t="shared" si="96"/>
        <v>7.571453555315371</v>
      </c>
      <c r="FF22" s="1">
        <f aca="true" t="shared" si="225" ref="FF22:FF31">(1-EG22-EH22-EI22)*(1-0.5*(EC22+EJ22+EH22+EI22))</f>
        <v>0.36966925020488306</v>
      </c>
      <c r="FG22" s="2"/>
      <c r="FH22" s="2">
        <f t="shared" si="98"/>
        <v>13.083914032774455</v>
      </c>
      <c r="FI22" s="2">
        <f t="shared" si="99"/>
        <v>0.2841487504262229</v>
      </c>
      <c r="FJ22" s="2">
        <f aca="true" t="shared" si="226" ref="FJ22:FJ31">(ED22/EF22)/(CP22/CR22)</f>
        <v>0.2942072880279454</v>
      </c>
      <c r="FK22" s="1">
        <f aca="true" t="shared" si="227" ref="FK22:FK31">EG22+EH22+EE22</f>
        <v>0.5882218178353971</v>
      </c>
      <c r="FL22" s="1">
        <f aca="true" t="shared" si="228" ref="FL22:FL31">EB22+DZ22+EJ22+EL22</f>
        <v>0.1266208204607829</v>
      </c>
      <c r="FM22" s="1">
        <f aca="true" t="shared" si="229" ref="FM22:FM31">EXP(0.238*FL22+0.289*FK22-2.3315)</f>
        <v>0.11867481904080142</v>
      </c>
      <c r="FN22" s="1">
        <f aca="true" t="shared" si="230" ref="FN22:FN31">1-DZ22-EB22</f>
        <v>0.8990132760600108</v>
      </c>
      <c r="FO22" s="1">
        <f t="shared" si="105"/>
        <v>0.3933436376249412</v>
      </c>
      <c r="FP22" s="1">
        <f aca="true" t="shared" si="231" ref="FP22:FP31">ED22-EL22</f>
        <v>0.27113054433325046</v>
      </c>
      <c r="FQ22" s="1">
        <f aca="true" t="shared" si="232" ref="FQ22:FQ31">1-FM22</f>
        <v>0.8813251809591985</v>
      </c>
      <c r="FR22" s="1">
        <f t="shared" si="108"/>
        <v>0.7552348798270268</v>
      </c>
      <c r="FS22" s="1">
        <f aca="true" t="shared" si="233" ref="FS22:FS31">-FP22*(1-FK22)</f>
        <v>-0.11164564267484516</v>
      </c>
      <c r="FT22" s="1">
        <f aca="true" t="shared" si="234" ref="FT22:FT31">(-FR22+SQRT(FR22^2-4*FQ22*FS22))/2*FQ22</f>
        <v>0.0998461668958527</v>
      </c>
      <c r="FU22" s="1">
        <f aca="true" t="shared" si="235" ref="FU22:FU31">FT22</f>
        <v>0.0998461668958527</v>
      </c>
      <c r="FV22" s="1">
        <f aca="true" t="shared" si="236" ref="FV22:FV31">FP22-FU22</f>
        <v>0.17128437743739777</v>
      </c>
      <c r="FW22" s="1">
        <f aca="true" t="shared" si="237" ref="FW22:FW31">1-FK22-FU22</f>
        <v>0.31193201526875025</v>
      </c>
      <c r="FX22" s="1">
        <f t="shared" si="114"/>
        <v>0.7092943540829512</v>
      </c>
      <c r="FY22" s="1">
        <f t="shared" si="115"/>
        <v>0.5582963637462359</v>
      </c>
      <c r="FZ22" s="1">
        <f t="shared" si="116"/>
        <v>0.0219010257970748</v>
      </c>
      <c r="GA22" s="1">
        <f t="shared" si="117"/>
        <v>433.94725296247447</v>
      </c>
      <c r="GB22" s="1">
        <f t="shared" si="118"/>
        <v>11.859091215853699</v>
      </c>
      <c r="GC22" s="1">
        <f t="shared" si="119"/>
        <v>2.1560945935604163</v>
      </c>
      <c r="GD22" s="1">
        <f aca="true" t="shared" si="238" ref="GD22:GD31">32.9*(0.75*GC22/6)*(10^-6)</f>
        <v>8.86693901601721E-06</v>
      </c>
      <c r="GE22" s="1">
        <f aca="true" t="shared" si="239" ref="GE22:GE31">7500*GC22/((1.4133+0.05601*GB22)^3)</f>
        <v>1803.3856334071486</v>
      </c>
      <c r="GF22" s="1">
        <f t="shared" si="122"/>
        <v>0.3830649410149935</v>
      </c>
      <c r="GG22" s="2">
        <f t="shared" si="123"/>
        <v>20.965034553770206</v>
      </c>
      <c r="GH22" s="4">
        <f aca="true" t="shared" si="240" ref="GH22:GH31">IG22</f>
        <v>7.7204256170062</v>
      </c>
      <c r="GI22" s="4">
        <f aca="true" t="shared" si="241" ref="GI22:GI31">IL22</f>
        <v>11.152452016019595</v>
      </c>
      <c r="GJ22" s="4">
        <f t="shared" si="126"/>
        <v>2.56</v>
      </c>
      <c r="GK22" s="4">
        <f t="shared" si="127"/>
        <v>4.055462459999994</v>
      </c>
      <c r="GL22" s="4">
        <f aca="true" t="shared" si="242" ref="GL22:GL31">IF(GJ22&gt;GK22,GI22,GH22)</f>
        <v>7.7204256170062</v>
      </c>
      <c r="GM22" s="1">
        <f aca="true" t="shared" si="243" ref="GM22:GN36">GA22</f>
        <v>433.94725296247447</v>
      </c>
      <c r="GN22" s="1">
        <f t="shared" si="243"/>
        <v>11.859091215853699</v>
      </c>
      <c r="GO22" s="4">
        <f aca="true" t="shared" si="244" ref="GO22:GO31">771.475-(1.323*GM22)-(16.064*GN22)</f>
        <v>6.858343039172553</v>
      </c>
      <c r="GP22" s="4"/>
      <c r="GQ22" s="7">
        <f t="shared" si="131"/>
        <v>0.27915497262533684</v>
      </c>
      <c r="GR22" s="7">
        <f aca="true" t="shared" si="245" ref="GR22:GR31">FW22+FX22</f>
        <v>1.0212263693517014</v>
      </c>
      <c r="GS22" s="7">
        <f aca="true" t="shared" si="246" ref="GS22:GS31">IF(EH22&gt;EL22,EL22,EH22)</f>
        <v>0.014399103962265836</v>
      </c>
      <c r="GT22" s="7">
        <f t="shared" si="134"/>
        <v>0.007501921834808963</v>
      </c>
      <c r="GU22" s="7">
        <f t="shared" si="135"/>
        <v>0</v>
      </c>
      <c r="GV22" s="7">
        <f t="shared" si="136"/>
        <v>0.007501921834808963</v>
      </c>
      <c r="GW22" s="7">
        <f aca="true" t="shared" si="247" ref="GW22:GW31">GT22-GV22</f>
        <v>0</v>
      </c>
      <c r="GX22" s="7">
        <f t="shared" si="138"/>
        <v>0.0784101329678106</v>
      </c>
      <c r="GY22" s="7">
        <f t="shared" si="139"/>
        <v>0.11979446380107774</v>
      </c>
      <c r="GZ22" s="7">
        <f aca="true" t="shared" si="248" ref="GZ22:GZ31">GQ22/(GQ22+GR22)</f>
        <v>0.21467162255721298</v>
      </c>
      <c r="HA22" s="7">
        <f t="shared" si="141"/>
        <v>0.34436798558951043</v>
      </c>
      <c r="HB22" s="7">
        <f t="shared" si="142"/>
        <v>0.09413391435564777</v>
      </c>
      <c r="HC22" s="7">
        <f aca="true" t="shared" si="249" ref="HC22:HC31">(1-GS22-GV22-GU22-GY22-HA22-HB22)*(1-GZ22)</f>
        <v>0.32968290291619823</v>
      </c>
      <c r="HD22" s="7">
        <f aca="true" t="shared" si="250" ref="HD22:HD31">(1-GS22-GV22-GU22-GY22-HA22-HB22)*GZ22</f>
        <v>0.09011970754049112</v>
      </c>
      <c r="HE22" s="7">
        <f aca="true" t="shared" si="251" ref="HE22:HE31">GV22+GS22</f>
        <v>0.0219010257970748</v>
      </c>
      <c r="HF22" s="7"/>
      <c r="HG22" s="16">
        <f aca="true" t="shared" si="252" ref="HG22:HG31">(-0.000000872*HA22)-(0.000000749*HC22)-(0.000000993*HB22)-(0.00000087*(GY22+GU22))-(0.00000086*HE22)-(0.00000087*HD22)</f>
        <v>-8.421565659260931E-07</v>
      </c>
      <c r="HH22" s="16">
        <f aca="true" t="shared" si="253" ref="HH22:HH31">(0.000000000001707*HA22)+(0.000000000000447*HC22)+(0.0000000000014835*HB22)+(0.000000000002171*(GY22+GU22))+(0.000000000002149*HE22)+(0.0000000000002235*HD22)</f>
        <v>1.2021329109367917E-12</v>
      </c>
      <c r="HI22" s="16">
        <f aca="true" t="shared" si="254" ref="HI22:HI31">(0.000027795*HA22)+(0.000024656*HC22)+(0.000031371*HB22)+(0.00002225*(GY22+GU22))+(0.000023118*HE22)+(0.000028232*HD22)</f>
        <v>2.6369439158247153E-05</v>
      </c>
      <c r="HJ22" s="16">
        <f aca="true" t="shared" si="255" ref="HJ22:HJ31">(0.0000000083082*HA22)+(0.000000007467*HC22)+(0.0000000083672*HB22)+(0.0000000052863*(GY22+GU22))+(0.0000000025785*HE22)+(0.000000007526*HD22)</f>
        <v>7.47843981010573E-09</v>
      </c>
      <c r="HK22" s="7">
        <f aca="true" t="shared" si="256" ref="HK22:HK31">GC22</f>
        <v>2.1560945935604163</v>
      </c>
      <c r="HL22" s="7">
        <f t="shared" si="151"/>
        <v>452.25408026307286</v>
      </c>
      <c r="HM22" s="7">
        <f t="shared" si="152"/>
        <v>4.8954081450394975</v>
      </c>
      <c r="HN22" s="7">
        <f t="shared" si="153"/>
        <v>452.2535699349985</v>
      </c>
      <c r="HO22" s="7">
        <f t="shared" si="154"/>
        <v>6.291862073882321</v>
      </c>
      <c r="HP22" s="7">
        <f t="shared" si="155"/>
        <v>4.8954081450394975</v>
      </c>
      <c r="HQ22" s="2">
        <f aca="true" t="shared" si="257" ref="HQ22:HQ31">(1-EG22-EH22-EI22)*(1-0.5*(EC22+EJ22+EH22+EI22))</f>
        <v>0.36966925020488306</v>
      </c>
      <c r="HR22" s="17">
        <f t="shared" si="157"/>
        <v>1195</v>
      </c>
      <c r="HS22" s="17"/>
      <c r="HT22" s="7">
        <f aca="true" t="shared" si="258" ref="HT22:HT31">1.4133+(0.05601*GN22)</f>
        <v>2.0775276989999654</v>
      </c>
      <c r="HU22" s="17">
        <f t="shared" si="159"/>
        <v>1803.3856334071486</v>
      </c>
      <c r="HV22" s="16">
        <f aca="true" t="shared" si="259" ref="HV22:HV31">0.0000329*(0.75-HK22/6)</f>
        <v>1.2852414645310385E-05</v>
      </c>
      <c r="HW22" s="1">
        <f t="shared" si="161"/>
        <v>0.5593035879910719</v>
      </c>
      <c r="HX22" s="1">
        <f aca="true" t="shared" si="260" ref="HX22:HX31">IF(IB22&gt;0,1000*IB22,0)</f>
        <v>8966.639439251665</v>
      </c>
      <c r="HY22" s="16">
        <f t="shared" si="163"/>
        <v>449.02093880406414</v>
      </c>
      <c r="HZ22" s="1">
        <f t="shared" si="164"/>
        <v>-0.058818530417176655</v>
      </c>
      <c r="IA22" s="1">
        <f t="shared" si="165"/>
        <v>12.359576273427594</v>
      </c>
      <c r="IB22" s="4">
        <f aca="true" t="shared" si="261" ref="IB22:IB31">654.472-(1.186*HY22)-(9.14*IA22)</f>
        <v>8.966639439251665</v>
      </c>
      <c r="IC22" s="17">
        <f aca="true" t="shared" si="262" ref="IC22:IC31">IF(IG22&gt;0,1000*IG22,0)</f>
        <v>7720.4256170062</v>
      </c>
      <c r="ID22" s="16">
        <f t="shared" si="168"/>
        <v>449.4655212433882</v>
      </c>
      <c r="IE22" s="7">
        <f t="shared" si="169"/>
        <v>-0.05066119355538124</v>
      </c>
      <c r="IF22" s="7">
        <f t="shared" si="170"/>
        <v>12.36773361028939</v>
      </c>
      <c r="IG22" s="4">
        <f t="shared" si="171"/>
        <v>7.7204256170062</v>
      </c>
      <c r="IH22" s="17">
        <f aca="true" t="shared" si="263" ref="IH22:IH31">IF(IL22&gt;0,1000*IL22,0)</f>
        <v>11152.452016019595</v>
      </c>
      <c r="II22" s="4">
        <f t="shared" si="173"/>
        <v>448.24507117114786</v>
      </c>
      <c r="IJ22" s="7">
        <f t="shared" si="174"/>
        <v>-0.07311262260729323</v>
      </c>
      <c r="IK22" s="7">
        <f t="shared" si="175"/>
        <v>12.345282181237478</v>
      </c>
      <c r="IL22" s="4">
        <f t="shared" si="176"/>
        <v>11.152452016019595</v>
      </c>
      <c r="IN22" s="1">
        <f t="shared" si="177"/>
        <v>7.122346604095123</v>
      </c>
      <c r="IO22" s="1">
        <f t="shared" si="178"/>
        <v>7.164373142281704</v>
      </c>
    </row>
    <row r="23" spans="1:249" ht="12.75">
      <c r="A23" s="1" t="s">
        <v>200</v>
      </c>
      <c r="B23" s="85" t="s">
        <v>201</v>
      </c>
      <c r="C23" s="3">
        <v>0.9</v>
      </c>
      <c r="D23" s="3">
        <v>1250</v>
      </c>
      <c r="F23" s="1">
        <v>5197</v>
      </c>
      <c r="G23" s="33">
        <v>49.9</v>
      </c>
      <c r="H23" s="33">
        <v>0.74</v>
      </c>
      <c r="I23" s="33">
        <v>16.6</v>
      </c>
      <c r="J23" s="33">
        <v>8.58</v>
      </c>
      <c r="K23" s="33">
        <v>0.21</v>
      </c>
      <c r="L23" s="33">
        <v>8.49</v>
      </c>
      <c r="M23" s="33">
        <v>10.5</v>
      </c>
      <c r="N23" s="33">
        <v>2.84</v>
      </c>
      <c r="O23" s="33">
        <v>0.12</v>
      </c>
      <c r="P23" s="33">
        <v>0.02</v>
      </c>
      <c r="Q23" s="33">
        <v>0.06</v>
      </c>
      <c r="R23" s="33">
        <v>0</v>
      </c>
      <c r="S23" s="4">
        <f t="shared" si="2"/>
        <v>98.06</v>
      </c>
      <c r="U23" s="33">
        <v>53.2</v>
      </c>
      <c r="V23" s="33">
        <v>0.38</v>
      </c>
      <c r="W23" s="33">
        <v>4.71</v>
      </c>
      <c r="X23" s="33">
        <v>6.81</v>
      </c>
      <c r="Y23" s="33">
        <v>0.15</v>
      </c>
      <c r="Z23" s="33">
        <v>20.5</v>
      </c>
      <c r="AA23" s="33">
        <v>14.3</v>
      </c>
      <c r="AB23" s="33">
        <v>0.31</v>
      </c>
      <c r="AC23" s="33">
        <v>0</v>
      </c>
      <c r="AD23" s="33">
        <v>0.09</v>
      </c>
      <c r="AF23" s="53">
        <f t="shared" si="179"/>
        <v>1526.4650361614308</v>
      </c>
      <c r="AG23" s="53">
        <f t="shared" si="194"/>
        <v>7.874577405053834</v>
      </c>
      <c r="AI23" s="51">
        <f t="shared" si="3"/>
        <v>1526.4650361614308</v>
      </c>
      <c r="AJ23" s="51">
        <f t="shared" si="196"/>
        <v>1253.3150361614307</v>
      </c>
      <c r="AK23" s="51">
        <f t="shared" si="180"/>
        <v>1519.9021721836123</v>
      </c>
      <c r="AL23" s="51">
        <f t="shared" si="197"/>
        <v>1246.7521721836124</v>
      </c>
      <c r="AM23" s="51">
        <f t="shared" si="6"/>
        <v>7.874577405053834</v>
      </c>
      <c r="AN23" s="51"/>
      <c r="AO23" s="51">
        <f t="shared" si="181"/>
        <v>1543.1432773750764</v>
      </c>
      <c r="AP23" s="51">
        <f t="shared" si="182"/>
        <v>7.504783968668324</v>
      </c>
      <c r="AQ23" s="51">
        <f t="shared" si="183"/>
        <v>1269.9932773750766</v>
      </c>
      <c r="AR23" s="70"/>
      <c r="AS23" s="90">
        <f t="shared" si="7"/>
        <v>0.3969857593591452</v>
      </c>
      <c r="AT23" s="90">
        <f t="shared" si="8"/>
        <v>0.3996268787209088</v>
      </c>
      <c r="AU23" s="90">
        <f t="shared" si="9"/>
        <v>0.048997402442481665</v>
      </c>
      <c r="AV23" s="90">
        <f t="shared" si="10"/>
        <v>0.01307695467365513</v>
      </c>
      <c r="AW23" s="90">
        <f t="shared" si="11"/>
        <v>0.01342237208714656</v>
      </c>
      <c r="AX23" s="90">
        <f t="shared" si="184"/>
        <v>0.0003877460754830199</v>
      </c>
      <c r="AY23" s="51">
        <f t="shared" si="185"/>
        <v>0.8724971133588203</v>
      </c>
      <c r="AZ23" s="70"/>
      <c r="BA23" s="90">
        <f t="shared" si="12"/>
        <v>0.45915439389378837</v>
      </c>
      <c r="BB23" s="90">
        <f t="shared" si="0"/>
        <v>0.4201282707363917</v>
      </c>
      <c r="BC23" s="90">
        <f t="shared" si="1"/>
        <v>0.08410451405400152</v>
      </c>
      <c r="BD23" s="90">
        <f t="shared" si="13"/>
        <v>0.02154161858366085</v>
      </c>
      <c r="BE23" s="90">
        <f t="shared" si="14"/>
        <v>0.004600450775332346</v>
      </c>
      <c r="BF23" s="90">
        <f t="shared" si="15"/>
        <v>0.0012750715953208569</v>
      </c>
      <c r="BG23" s="90">
        <f t="shared" si="186"/>
        <v>0.9908043196384957</v>
      </c>
      <c r="BH23" s="90">
        <f t="shared" si="187"/>
        <v>0.3287105577349479</v>
      </c>
      <c r="BI23" s="70"/>
      <c r="BJ23" s="51">
        <f t="shared" si="16"/>
        <v>7.725087417914166</v>
      </c>
      <c r="BK23" s="51">
        <f t="shared" si="188"/>
        <v>8.778135282805474</v>
      </c>
      <c r="BL23" s="51">
        <f t="shared" si="17"/>
        <v>1240.9763758755057</v>
      </c>
      <c r="BM23" s="51">
        <f t="shared" si="18"/>
        <v>1243.5386376018523</v>
      </c>
      <c r="BN23" s="51">
        <f t="shared" si="189"/>
        <v>1243.5386376018523</v>
      </c>
      <c r="BO23" s="51"/>
      <c r="BP23" s="51">
        <f t="shared" si="19"/>
        <v>10.511188668536306</v>
      </c>
      <c r="BQ23" s="51">
        <f t="shared" si="20"/>
        <v>9.048947435840812</v>
      </c>
      <c r="BR23" s="51">
        <f t="shared" si="21"/>
        <v>7.8691549641829805</v>
      </c>
      <c r="BS23" s="51">
        <f t="shared" si="22"/>
        <v>1250.9544579846606</v>
      </c>
      <c r="BT23" s="71">
        <f t="shared" si="190"/>
        <v>0.291378764016814</v>
      </c>
      <c r="BU23" s="70"/>
      <c r="BV23" s="51">
        <f t="shared" si="23"/>
        <v>7.834255990865546</v>
      </c>
      <c r="BW23" s="51">
        <f t="shared" si="24"/>
        <v>8.866382819144699</v>
      </c>
      <c r="BX23" s="51">
        <f t="shared" si="25"/>
        <v>1293.5819368242865</v>
      </c>
      <c r="BY23" s="2"/>
      <c r="BZ23" s="1">
        <f t="shared" si="26"/>
        <v>0.8304998144273962</v>
      </c>
      <c r="CA23" s="1">
        <f t="shared" si="27"/>
        <v>0.009264035013044764</v>
      </c>
      <c r="CB23" s="1">
        <f t="shared" si="28"/>
        <v>0.3256146958150666</v>
      </c>
      <c r="CC23" s="1">
        <f t="shared" si="29"/>
        <v>0.11942143238909673</v>
      </c>
      <c r="CD23" s="1">
        <f t="shared" si="30"/>
        <v>0.002960352422907489</v>
      </c>
      <c r="CE23" s="1">
        <f t="shared" si="31"/>
        <v>0.21064697650876826</v>
      </c>
      <c r="CF23" s="1">
        <f t="shared" si="32"/>
        <v>0.187241205904696</v>
      </c>
      <c r="CG23" s="1">
        <f t="shared" si="33"/>
        <v>0.09164409177962177</v>
      </c>
      <c r="CH23" s="1">
        <f t="shared" si="34"/>
        <v>0.0025478788908233894</v>
      </c>
      <c r="CI23" s="1">
        <f t="shared" si="35"/>
        <v>0.00026316101111723694</v>
      </c>
      <c r="CJ23" s="1">
        <f t="shared" si="36"/>
        <v>0.0008454455145592762</v>
      </c>
      <c r="CK23" s="1">
        <f t="shared" si="198"/>
        <v>1.7809490896770974</v>
      </c>
      <c r="CM23" s="1">
        <f t="shared" si="38"/>
        <v>0.4663242870002384</v>
      </c>
      <c r="CN23" s="1">
        <f t="shared" si="39"/>
        <v>0.005201740502713876</v>
      </c>
      <c r="CO23" s="1">
        <f t="shared" si="40"/>
        <v>0.18283211895411539</v>
      </c>
      <c r="CP23" s="1">
        <f t="shared" si="41"/>
        <v>0.06705493889819666</v>
      </c>
      <c r="CQ23" s="1">
        <f t="shared" si="42"/>
        <v>0.0016622330419586717</v>
      </c>
      <c r="CR23" s="1">
        <f t="shared" si="43"/>
        <v>0.11827793266508281</v>
      </c>
      <c r="CS23" s="1">
        <f t="shared" si="44"/>
        <v>0.10513563076564113</v>
      </c>
      <c r="CT23" s="1">
        <f t="shared" si="45"/>
        <v>0.051458007593152305</v>
      </c>
      <c r="CU23" s="1">
        <f t="shared" si="46"/>
        <v>0.001430629828551328</v>
      </c>
      <c r="CV23" s="1">
        <f t="shared" si="47"/>
        <v>0.00014776447717826144</v>
      </c>
      <c r="CW23" s="1">
        <f t="shared" si="48"/>
        <v>0.00047471627317126916</v>
      </c>
      <c r="CX23" s="1">
        <f t="shared" si="199"/>
        <v>1.0000000000000002</v>
      </c>
      <c r="CZ23" s="1">
        <f t="shared" si="50"/>
        <v>0.8854226478464424</v>
      </c>
      <c r="DA23" s="1">
        <f t="shared" si="51"/>
        <v>0.004757207168860824</v>
      </c>
      <c r="DB23" s="1">
        <f t="shared" si="52"/>
        <v>0.046194133050872395</v>
      </c>
      <c r="DC23" s="1">
        <f t="shared" si="53"/>
        <v>0.0947855424906467</v>
      </c>
      <c r="DD23" s="1">
        <f t="shared" si="54"/>
        <v>0.0021145374449339205</v>
      </c>
      <c r="DE23" s="1">
        <f t="shared" si="55"/>
        <v>0.5086293307926678</v>
      </c>
      <c r="DF23" s="1">
        <f t="shared" si="56"/>
        <v>0.2550046899463955</v>
      </c>
      <c r="DG23" s="1">
        <f t="shared" si="57"/>
        <v>0.005001702192197667</v>
      </c>
      <c r="DH23" s="1">
        <f t="shared" si="58"/>
        <v>0</v>
      </c>
      <c r="DI23" s="1">
        <f t="shared" si="59"/>
        <v>0.000592112275013783</v>
      </c>
      <c r="DJ23" s="1">
        <f t="shared" si="200"/>
        <v>1.8025019032080314</v>
      </c>
      <c r="DL23" s="1">
        <f t="shared" si="201"/>
        <v>1.7708452956928848</v>
      </c>
      <c r="DM23" s="1">
        <f t="shared" si="201"/>
        <v>0.009514414337721648</v>
      </c>
      <c r="DN23" s="1">
        <f t="shared" si="202"/>
        <v>0.1385823991526172</v>
      </c>
      <c r="DO23" s="1">
        <f t="shared" si="203"/>
        <v>0.0947855424906467</v>
      </c>
      <c r="DP23" s="1">
        <f t="shared" si="203"/>
        <v>0.0021145374449339205</v>
      </c>
      <c r="DQ23" s="1">
        <f t="shared" si="203"/>
        <v>0.5086293307926678</v>
      </c>
      <c r="DR23" s="1">
        <f t="shared" si="204"/>
        <v>0.2550046899463955</v>
      </c>
      <c r="DS23" s="1">
        <f t="shared" si="204"/>
        <v>0.005001702192197667</v>
      </c>
      <c r="DT23" s="1">
        <f t="shared" si="204"/>
        <v>0</v>
      </c>
      <c r="DU23" s="1">
        <f t="shared" si="205"/>
        <v>0.001776336825041349</v>
      </c>
      <c r="DV23" s="1">
        <f t="shared" si="206"/>
        <v>2.7862542488751068</v>
      </c>
      <c r="DW23" s="1">
        <f t="shared" si="207"/>
        <v>2.1534287484433188</v>
      </c>
      <c r="DY23" s="1">
        <f t="shared" si="67"/>
        <v>1.9066945843953338</v>
      </c>
      <c r="DZ23" s="1">
        <f t="shared" si="68"/>
        <v>0.010244306679725548</v>
      </c>
      <c r="EA23" s="1">
        <f t="shared" si="208"/>
        <v>0.09330541560466621</v>
      </c>
      <c r="EB23" s="1">
        <f t="shared" si="209"/>
        <v>0.10564613263766237</v>
      </c>
      <c r="EC23" s="1">
        <f t="shared" si="71"/>
        <v>0.19895154824232858</v>
      </c>
      <c r="ED23" s="1">
        <f t="shared" si="72"/>
        <v>0.20411391213615435</v>
      </c>
      <c r="EE23" s="1">
        <f t="shared" si="73"/>
        <v>0.004553505723580585</v>
      </c>
      <c r="EF23" s="1">
        <f t="shared" si="74"/>
        <v>1.0952970232304173</v>
      </c>
      <c r="EG23" s="1">
        <f t="shared" si="75"/>
        <v>0.5491344303184431</v>
      </c>
      <c r="EH23" s="1">
        <f t="shared" si="76"/>
        <v>0.02154161858366085</v>
      </c>
      <c r="EI23" s="1">
        <f t="shared" si="77"/>
        <v>0</v>
      </c>
      <c r="EJ23" s="1">
        <f t="shared" si="78"/>
        <v>0.0025501431906417137</v>
      </c>
      <c r="EK23" s="1">
        <f t="shared" si="210"/>
        <v>3.9930810725002854</v>
      </c>
      <c r="EL23" s="1">
        <f t="shared" si="211"/>
        <v>0</v>
      </c>
      <c r="EM23" s="1">
        <f t="shared" si="212"/>
        <v>-0.02079274837878131</v>
      </c>
      <c r="EN23" s="1">
        <f t="shared" si="213"/>
        <v>0.02154161858366085</v>
      </c>
      <c r="EO23" s="1">
        <f t="shared" si="214"/>
        <v>0.08410451405400152</v>
      </c>
      <c r="EP23" s="1">
        <f t="shared" si="215"/>
        <v>0.004600450775332346</v>
      </c>
      <c r="EQ23" s="1">
        <f t="shared" si="216"/>
        <v>0.0012750715953208569</v>
      </c>
      <c r="ER23" s="2">
        <f t="shared" si="217"/>
        <v>0.45915439389378837</v>
      </c>
      <c r="ES23" s="1">
        <f t="shared" si="218"/>
        <v>0.4201282707363917</v>
      </c>
      <c r="ET23" s="1">
        <f t="shared" si="219"/>
        <v>0.9908043196384956</v>
      </c>
      <c r="EU23" s="1">
        <f t="shared" si="220"/>
        <v>0.45915439389378837</v>
      </c>
      <c r="EV23" s="1">
        <f t="shared" si="221"/>
        <v>2.354155637560034</v>
      </c>
      <c r="EW23" s="1">
        <f t="shared" si="222"/>
        <v>-2.331329396924542</v>
      </c>
      <c r="EX23" s="1">
        <f t="shared" si="223"/>
        <v>-2.331329396924542</v>
      </c>
      <c r="EY23" s="1">
        <f t="shared" si="224"/>
        <v>0.6381918742606778</v>
      </c>
      <c r="EZ23" s="84">
        <f t="shared" si="191"/>
        <v>1526.4650361614308</v>
      </c>
      <c r="FA23" s="84">
        <f t="shared" si="192"/>
        <v>7.874577405053834</v>
      </c>
      <c r="FB23" s="1">
        <f t="shared" si="193"/>
        <v>0.15264650361614307</v>
      </c>
      <c r="FC23" s="2">
        <f t="shared" si="94"/>
        <v>-1.9005258640487555</v>
      </c>
      <c r="FD23" s="2">
        <f t="shared" si="95"/>
        <v>5.645186788056465</v>
      </c>
      <c r="FE23" s="1">
        <f t="shared" si="96"/>
        <v>9.391352401253853</v>
      </c>
      <c r="FF23" s="1">
        <f t="shared" si="225"/>
        <v>0.3814450335367496</v>
      </c>
      <c r="FG23" s="2"/>
      <c r="FH23" s="2">
        <f t="shared" si="98"/>
        <v>15.068412512802908</v>
      </c>
      <c r="FI23" s="2">
        <f t="shared" si="99"/>
        <v>0.2906654834381946</v>
      </c>
      <c r="FJ23" s="2">
        <f t="shared" si="226"/>
        <v>0.3287105577349479</v>
      </c>
      <c r="FK23" s="1">
        <f t="shared" si="227"/>
        <v>0.5752295546256846</v>
      </c>
      <c r="FL23" s="1">
        <f t="shared" si="228"/>
        <v>0.11844058250802963</v>
      </c>
      <c r="FM23" s="1">
        <f t="shared" si="229"/>
        <v>0.11800010082398742</v>
      </c>
      <c r="FN23" s="1">
        <f t="shared" si="230"/>
        <v>0.8841095606826122</v>
      </c>
      <c r="FO23" s="1">
        <f t="shared" si="105"/>
        <v>0.41530137468395956</v>
      </c>
      <c r="FP23" s="1">
        <f t="shared" si="231"/>
        <v>0.20411391213615435</v>
      </c>
      <c r="FQ23" s="1">
        <f t="shared" si="232"/>
        <v>0.8819998991760126</v>
      </c>
      <c r="FR23" s="1">
        <f t="shared" si="108"/>
        <v>0.708006561302653</v>
      </c>
      <c r="FS23" s="1">
        <f t="shared" si="233"/>
        <v>-0.08670155736516816</v>
      </c>
      <c r="FT23" s="1">
        <f t="shared" si="234"/>
        <v>0.08397179013847517</v>
      </c>
      <c r="FU23" s="1">
        <f t="shared" si="235"/>
        <v>0.08397179013847517</v>
      </c>
      <c r="FV23" s="1">
        <f t="shared" si="236"/>
        <v>0.12014212199767918</v>
      </c>
      <c r="FW23" s="1">
        <f t="shared" si="237"/>
        <v>0.34079865523584024</v>
      </c>
      <c r="FX23" s="1">
        <f t="shared" si="114"/>
        <v>0.7544983679945771</v>
      </c>
      <c r="FY23" s="1">
        <f t="shared" si="115"/>
        <v>0.5491344303184431</v>
      </c>
      <c r="FZ23" s="1">
        <f t="shared" si="116"/>
        <v>0.02154161858366085</v>
      </c>
      <c r="GA23" s="1">
        <f t="shared" si="117"/>
        <v>432.2282754559799</v>
      </c>
      <c r="GB23" s="1">
        <f t="shared" si="118"/>
        <v>11.837219359133897</v>
      </c>
      <c r="GC23" s="1">
        <f t="shared" si="119"/>
        <v>2.114847034188327</v>
      </c>
      <c r="GD23" s="1">
        <f t="shared" si="238"/>
        <v>8.697308428099495E-06</v>
      </c>
      <c r="GE23" s="1">
        <f t="shared" si="239"/>
        <v>1772.0184738090502</v>
      </c>
      <c r="GF23" s="1">
        <f t="shared" si="122"/>
        <v>0.3844931091422469</v>
      </c>
      <c r="GG23" s="2">
        <f t="shared" si="123"/>
        <v>20.843779964182986</v>
      </c>
      <c r="GH23" s="4">
        <f t="shared" si="240"/>
        <v>9.528303384310213</v>
      </c>
      <c r="GI23" s="4">
        <f t="shared" si="241"/>
        <v>13.082764274175107</v>
      </c>
      <c r="GJ23" s="4">
        <f t="shared" si="126"/>
        <v>2.96</v>
      </c>
      <c r="GK23" s="4">
        <f t="shared" si="127"/>
        <v>4.740413939999996</v>
      </c>
      <c r="GL23" s="4">
        <f t="shared" si="242"/>
        <v>9.528303384310213</v>
      </c>
      <c r="GM23" s="1">
        <f t="shared" si="243"/>
        <v>432.2282754559799</v>
      </c>
      <c r="GN23" s="1">
        <f t="shared" si="243"/>
        <v>11.837219359133897</v>
      </c>
      <c r="GO23" s="4">
        <f t="shared" si="244"/>
        <v>9.483899786611772</v>
      </c>
      <c r="GP23" s="4"/>
      <c r="GQ23" s="7">
        <f t="shared" si="131"/>
        <v>0.20866741785973494</v>
      </c>
      <c r="GR23" s="7">
        <f t="shared" si="245"/>
        <v>1.0952970232304173</v>
      </c>
      <c r="GS23" s="7">
        <f t="shared" si="246"/>
        <v>0</v>
      </c>
      <c r="GT23" s="7">
        <f t="shared" si="134"/>
        <v>0.02154161858366085</v>
      </c>
      <c r="GU23" s="7">
        <f t="shared" si="135"/>
        <v>0</v>
      </c>
      <c r="GV23" s="7">
        <f t="shared" si="136"/>
        <v>0.02154161858366085</v>
      </c>
      <c r="GW23" s="7">
        <f t="shared" si="247"/>
        <v>0</v>
      </c>
      <c r="GX23" s="7">
        <f t="shared" si="138"/>
        <v>0.08410451405400152</v>
      </c>
      <c r="GY23" s="7">
        <f t="shared" si="139"/>
        <v>0.10714327060409433</v>
      </c>
      <c r="GZ23" s="7">
        <f t="shared" si="248"/>
        <v>0.16002538971483218</v>
      </c>
      <c r="HA23" s="7">
        <f t="shared" si="141"/>
        <v>0.3712613521305495</v>
      </c>
      <c r="HB23" s="7">
        <f t="shared" si="142"/>
        <v>0.07072980758379929</v>
      </c>
      <c r="HC23" s="7">
        <f t="shared" si="249"/>
        <v>0.36062121850954365</v>
      </c>
      <c r="HD23" s="7">
        <f t="shared" si="250"/>
        <v>0.06870273258835237</v>
      </c>
      <c r="HE23" s="7">
        <f t="shared" si="251"/>
        <v>0.02154161858366085</v>
      </c>
      <c r="HF23" s="7"/>
      <c r="HG23" s="16">
        <f t="shared" si="252"/>
        <v>-8.355917054115769E-07</v>
      </c>
      <c r="HH23" s="16">
        <f t="shared" si="253"/>
        <v>1.194124521862453E-12</v>
      </c>
      <c r="HI23" s="16">
        <f t="shared" si="254"/>
        <v>2.625110329554383E-05</v>
      </c>
      <c r="HJ23" s="16">
        <f t="shared" si="255"/>
        <v>7.508075950769293E-09</v>
      </c>
      <c r="HK23" s="7">
        <f t="shared" si="256"/>
        <v>2.114847034188327</v>
      </c>
      <c r="HL23" s="7">
        <f t="shared" si="151"/>
        <v>450.9953402321502</v>
      </c>
      <c r="HM23" s="7">
        <f t="shared" si="152"/>
        <v>6.070862046409175</v>
      </c>
      <c r="HN23" s="7">
        <f t="shared" si="153"/>
        <v>450.994857905633</v>
      </c>
      <c r="HO23" s="7">
        <f t="shared" si="154"/>
        <v>7.406356867063141</v>
      </c>
      <c r="HP23" s="7">
        <f t="shared" si="155"/>
        <v>6.070862046409175</v>
      </c>
      <c r="HQ23" s="2">
        <f t="shared" si="257"/>
        <v>0.3814450335367496</v>
      </c>
      <c r="HR23" s="17">
        <f t="shared" si="157"/>
        <v>1225</v>
      </c>
      <c r="HS23" s="17"/>
      <c r="HT23" s="7">
        <f t="shared" si="258"/>
        <v>2.0763026563050895</v>
      </c>
      <c r="HU23" s="17">
        <f t="shared" si="159"/>
        <v>1772.0184738090502</v>
      </c>
      <c r="HV23" s="16">
        <f t="shared" si="259"/>
        <v>1.3078588762534007E-05</v>
      </c>
      <c r="HW23" s="1">
        <f t="shared" si="161"/>
        <v>0.5829513382913947</v>
      </c>
      <c r="HX23" s="1">
        <f t="shared" si="260"/>
        <v>11715.973205458227</v>
      </c>
      <c r="HY23" s="16">
        <f t="shared" si="163"/>
        <v>446.83696370982994</v>
      </c>
      <c r="HZ23" s="1">
        <f t="shared" si="164"/>
        <v>-0.07800572645335778</v>
      </c>
      <c r="IA23" s="1">
        <f t="shared" si="165"/>
        <v>12.342164970971934</v>
      </c>
      <c r="IB23" s="4">
        <f t="shared" si="261"/>
        <v>11.715973205458226</v>
      </c>
      <c r="IC23" s="17">
        <f t="shared" si="262"/>
        <v>9528.303384310213</v>
      </c>
      <c r="ID23" s="16">
        <f t="shared" si="168"/>
        <v>447.60308887569806</v>
      </c>
      <c r="IE23" s="7">
        <f t="shared" si="169"/>
        <v>-0.06347913113380567</v>
      </c>
      <c r="IF23" s="7">
        <f t="shared" si="170"/>
        <v>12.356691566291486</v>
      </c>
      <c r="IG23" s="4">
        <f t="shared" si="171"/>
        <v>9.528303384310213</v>
      </c>
      <c r="IH23" s="17">
        <f t="shared" si="263"/>
        <v>13082.764274175106</v>
      </c>
      <c r="II23" s="4">
        <f t="shared" si="173"/>
        <v>446.3608189685801</v>
      </c>
      <c r="IJ23" s="7">
        <f t="shared" si="174"/>
        <v>-0.08707244235807157</v>
      </c>
      <c r="IK23" s="7">
        <f t="shared" si="175"/>
        <v>12.33309825506722</v>
      </c>
      <c r="IL23" s="4">
        <f t="shared" si="176"/>
        <v>13.082764274175107</v>
      </c>
      <c r="IN23" s="1">
        <f t="shared" si="177"/>
        <v>7.71757402228163</v>
      </c>
      <c r="IO23" s="1">
        <f t="shared" si="178"/>
        <v>8.333262285561261</v>
      </c>
    </row>
    <row r="24" spans="1:249" ht="12.75">
      <c r="A24" s="1" t="s">
        <v>200</v>
      </c>
      <c r="B24" s="85" t="s">
        <v>202</v>
      </c>
      <c r="C24" s="3">
        <v>0.9</v>
      </c>
      <c r="D24" s="3">
        <v>1230</v>
      </c>
      <c r="F24" s="1">
        <v>5200</v>
      </c>
      <c r="G24" s="33">
        <v>50.1</v>
      </c>
      <c r="H24" s="33">
        <v>1.15</v>
      </c>
      <c r="I24" s="33">
        <v>16.3</v>
      </c>
      <c r="J24" s="33">
        <v>9.12</v>
      </c>
      <c r="K24" s="33">
        <v>0.13</v>
      </c>
      <c r="L24" s="33">
        <v>9.01</v>
      </c>
      <c r="M24" s="33">
        <v>10.9</v>
      </c>
      <c r="N24" s="33">
        <v>2.77</v>
      </c>
      <c r="O24" s="33">
        <v>0.12</v>
      </c>
      <c r="P24" s="33">
        <v>0.09</v>
      </c>
      <c r="Q24" s="33">
        <v>0.12</v>
      </c>
      <c r="R24" s="33">
        <v>0</v>
      </c>
      <c r="S24" s="4">
        <f t="shared" si="2"/>
        <v>99.81000000000002</v>
      </c>
      <c r="U24" s="33">
        <v>53.1</v>
      </c>
      <c r="V24" s="33">
        <v>0.52</v>
      </c>
      <c r="W24" s="33">
        <v>3.64</v>
      </c>
      <c r="X24" s="33">
        <v>7.11</v>
      </c>
      <c r="Y24" s="33">
        <v>0.13</v>
      </c>
      <c r="Z24" s="33">
        <v>20.5</v>
      </c>
      <c r="AA24" s="33">
        <v>14.9</v>
      </c>
      <c r="AB24" s="33">
        <v>0.3</v>
      </c>
      <c r="AC24" s="33">
        <v>0</v>
      </c>
      <c r="AD24" s="33">
        <v>0.17</v>
      </c>
      <c r="AF24" s="53">
        <f t="shared" si="179"/>
        <v>1524.7144118970177</v>
      </c>
      <c r="AG24" s="53">
        <f t="shared" si="194"/>
        <v>7.954323616651342</v>
      </c>
      <c r="AI24" s="51">
        <f t="shared" si="3"/>
        <v>1524.7144118970177</v>
      </c>
      <c r="AJ24" s="51">
        <f t="shared" si="196"/>
        <v>1251.5644118970176</v>
      </c>
      <c r="AK24" s="51">
        <f t="shared" si="180"/>
        <v>1519.6324751554296</v>
      </c>
      <c r="AL24" s="51">
        <f t="shared" si="197"/>
        <v>1246.4824751554297</v>
      </c>
      <c r="AM24" s="51">
        <f t="shared" si="6"/>
        <v>7.954323616651342</v>
      </c>
      <c r="AN24" s="51"/>
      <c r="AO24" s="51">
        <f t="shared" si="181"/>
        <v>1540.8482968364854</v>
      </c>
      <c r="AP24" s="51">
        <f t="shared" si="182"/>
        <v>7.784419454060102</v>
      </c>
      <c r="AQ24" s="51">
        <f t="shared" si="183"/>
        <v>1267.6982968364855</v>
      </c>
      <c r="AR24" s="70"/>
      <c r="AS24" s="90">
        <f t="shared" si="7"/>
        <v>0.41774750438874414</v>
      </c>
      <c r="AT24" s="90">
        <f t="shared" si="8"/>
        <v>0.3521128388334722</v>
      </c>
      <c r="AU24" s="90">
        <f t="shared" si="9"/>
        <v>0.041165806194473506</v>
      </c>
      <c r="AV24" s="90">
        <f t="shared" si="10"/>
        <v>0.01247349661176417</v>
      </c>
      <c r="AW24" s="90">
        <f t="shared" si="11"/>
        <v>0.017191795444483255</v>
      </c>
      <c r="AX24" s="90">
        <f t="shared" si="184"/>
        <v>0.0076799795766566035</v>
      </c>
      <c r="AY24" s="51">
        <f t="shared" si="185"/>
        <v>0.848371421049594</v>
      </c>
      <c r="AZ24" s="70"/>
      <c r="BA24" s="90">
        <f t="shared" si="12"/>
        <v>0.5060908868067312</v>
      </c>
      <c r="BB24" s="90">
        <f t="shared" si="0"/>
        <v>0.4047670044467843</v>
      </c>
      <c r="BC24" s="90">
        <f t="shared" si="1"/>
        <v>0.047256802695966466</v>
      </c>
      <c r="BD24" s="90">
        <f t="shared" si="13"/>
        <v>0.020961798012189784</v>
      </c>
      <c r="BE24" s="90">
        <f t="shared" si="14"/>
        <v>0.019563891152992105</v>
      </c>
      <c r="BF24" s="90">
        <f t="shared" si="15"/>
        <v>0.0024217629011287706</v>
      </c>
      <c r="BG24" s="90">
        <f t="shared" si="186"/>
        <v>1.0010621460157925</v>
      </c>
      <c r="BH24" s="90">
        <f t="shared" si="187"/>
        <v>0.34264602053915283</v>
      </c>
      <c r="BI24" s="70"/>
      <c r="BJ24" s="51">
        <f t="shared" si="16"/>
        <v>7.538141425331731</v>
      </c>
      <c r="BK24" s="51">
        <f t="shared" si="188"/>
        <v>8.147756094863148</v>
      </c>
      <c r="BL24" s="51">
        <f t="shared" si="17"/>
        <v>1248.0551834963007</v>
      </c>
      <c r="BM24" s="51">
        <f t="shared" si="18"/>
        <v>1248.8107131271008</v>
      </c>
      <c r="BN24" s="51">
        <f t="shared" si="189"/>
        <v>1248.8107131271008</v>
      </c>
      <c r="BO24" s="51"/>
      <c r="BP24" s="51">
        <f t="shared" si="19"/>
        <v>9.69395211606843</v>
      </c>
      <c r="BQ24" s="51">
        <f t="shared" si="20"/>
        <v>7.66872399187269</v>
      </c>
      <c r="BR24" s="51">
        <f t="shared" si="21"/>
        <v>7.876267384262054</v>
      </c>
      <c r="BS24" s="51">
        <f t="shared" si="22"/>
        <v>1244.0218372734535</v>
      </c>
      <c r="BT24" s="71">
        <f t="shared" si="190"/>
        <v>0.2910022591340972</v>
      </c>
      <c r="BU24" s="70"/>
      <c r="BV24" s="51">
        <f t="shared" si="23"/>
        <v>5.299889742597774</v>
      </c>
      <c r="BW24" s="51">
        <f t="shared" si="24"/>
        <v>6.07901769410934</v>
      </c>
      <c r="BX24" s="51">
        <f t="shared" si="25"/>
        <v>1268.0149570969425</v>
      </c>
      <c r="BY24" s="2"/>
      <c r="BZ24" s="1">
        <f t="shared" si="26"/>
        <v>0.8338284709982475</v>
      </c>
      <c r="CA24" s="1">
        <f t="shared" si="27"/>
        <v>0.014396811168920914</v>
      </c>
      <c r="CB24" s="1">
        <f t="shared" si="28"/>
        <v>0.3197300928786497</v>
      </c>
      <c r="CC24" s="1">
        <f t="shared" si="29"/>
        <v>0.1269374665954035</v>
      </c>
      <c r="CD24" s="1">
        <f t="shared" si="30"/>
        <v>0.0018325991189427314</v>
      </c>
      <c r="CE24" s="1">
        <f t="shared" si="31"/>
        <v>0.22354879368009448</v>
      </c>
      <c r="CF24" s="1">
        <f t="shared" si="32"/>
        <v>0.19437420422487492</v>
      </c>
      <c r="CG24" s="1">
        <f t="shared" si="33"/>
        <v>0.08938525853153251</v>
      </c>
      <c r="CH24" s="1">
        <f t="shared" si="34"/>
        <v>0.0025478788908233894</v>
      </c>
      <c r="CI24" s="1">
        <f t="shared" si="35"/>
        <v>0.001184224550027566</v>
      </c>
      <c r="CJ24" s="1">
        <f t="shared" si="36"/>
        <v>0.0016908910291185523</v>
      </c>
      <c r="CK24" s="1">
        <f t="shared" si="198"/>
        <v>1.8094566916666353</v>
      </c>
      <c r="CM24" s="1">
        <f t="shared" si="38"/>
        <v>0.46081703686990905</v>
      </c>
      <c r="CN24" s="1">
        <f t="shared" si="39"/>
        <v>0.007956427603503707</v>
      </c>
      <c r="CO24" s="1">
        <f t="shared" si="40"/>
        <v>0.17669950010472815</v>
      </c>
      <c r="CP24" s="1">
        <f t="shared" si="41"/>
        <v>0.07015225464085868</v>
      </c>
      <c r="CQ24" s="1">
        <f t="shared" si="42"/>
        <v>0.0010127897105151383</v>
      </c>
      <c r="CR24" s="1">
        <f t="shared" si="43"/>
        <v>0.1235447052751456</v>
      </c>
      <c r="CS24" s="1">
        <f t="shared" si="44"/>
        <v>0.10742130779921723</v>
      </c>
      <c r="CT24" s="1">
        <f t="shared" si="45"/>
        <v>0.04939894883541118</v>
      </c>
      <c r="CU24" s="1">
        <f t="shared" si="46"/>
        <v>0.0014080905625194135</v>
      </c>
      <c r="CV24" s="1">
        <f t="shared" si="47"/>
        <v>0.0006544641579328505</v>
      </c>
      <c r="CW24" s="1">
        <f t="shared" si="48"/>
        <v>0.0009344744402592605</v>
      </c>
      <c r="CX24" s="1">
        <f t="shared" si="199"/>
        <v>1.0000000000000002</v>
      </c>
      <c r="CZ24" s="1">
        <f t="shared" si="50"/>
        <v>0.8837583195610168</v>
      </c>
      <c r="DA24" s="1">
        <f t="shared" si="51"/>
        <v>0.006509862441599023</v>
      </c>
      <c r="DB24" s="1">
        <f t="shared" si="52"/>
        <v>0.035699924480928985</v>
      </c>
      <c r="DC24" s="1">
        <f t="shared" si="53"/>
        <v>0.09896111704970605</v>
      </c>
      <c r="DD24" s="1">
        <f t="shared" si="54"/>
        <v>0.0018325991189427314</v>
      </c>
      <c r="DE24" s="1">
        <f t="shared" si="55"/>
        <v>0.5086293307926678</v>
      </c>
      <c r="DF24" s="1">
        <f t="shared" si="56"/>
        <v>0.2657041874266639</v>
      </c>
      <c r="DG24" s="1">
        <f t="shared" si="57"/>
        <v>0.004840356960191291</v>
      </c>
      <c r="DH24" s="1">
        <f t="shared" si="58"/>
        <v>0</v>
      </c>
      <c r="DI24" s="1">
        <f t="shared" si="59"/>
        <v>0.001118434297248257</v>
      </c>
      <c r="DJ24" s="1">
        <f t="shared" si="200"/>
        <v>1.807054132128965</v>
      </c>
      <c r="DL24" s="1">
        <f t="shared" si="201"/>
        <v>1.7675166391220336</v>
      </c>
      <c r="DM24" s="1">
        <f t="shared" si="201"/>
        <v>0.013019724883198046</v>
      </c>
      <c r="DN24" s="1">
        <f t="shared" si="202"/>
        <v>0.10709977344278696</v>
      </c>
      <c r="DO24" s="1">
        <f t="shared" si="203"/>
        <v>0.09896111704970605</v>
      </c>
      <c r="DP24" s="1">
        <f t="shared" si="203"/>
        <v>0.0018325991189427314</v>
      </c>
      <c r="DQ24" s="1">
        <f t="shared" si="203"/>
        <v>0.5086293307926678</v>
      </c>
      <c r="DR24" s="1">
        <f t="shared" si="204"/>
        <v>0.2657041874266639</v>
      </c>
      <c r="DS24" s="1">
        <f t="shared" si="204"/>
        <v>0.004840356960191291</v>
      </c>
      <c r="DT24" s="1">
        <f t="shared" si="204"/>
        <v>0</v>
      </c>
      <c r="DU24" s="1">
        <f t="shared" si="205"/>
        <v>0.003355302891744771</v>
      </c>
      <c r="DV24" s="1">
        <f t="shared" si="206"/>
        <v>2.770959031687935</v>
      </c>
      <c r="DW24" s="1">
        <f t="shared" si="207"/>
        <v>2.1653153046961826</v>
      </c>
      <c r="DY24" s="1">
        <f t="shared" si="67"/>
        <v>1.9136154149980493</v>
      </c>
      <c r="DZ24" s="1">
        <f t="shared" si="68"/>
        <v>0.014095904776261223</v>
      </c>
      <c r="EA24" s="1">
        <f t="shared" si="208"/>
        <v>0.08638458500195068</v>
      </c>
      <c r="EB24" s="1">
        <f t="shared" si="209"/>
        <v>0.06821860070815625</v>
      </c>
      <c r="EC24" s="1">
        <f t="shared" si="71"/>
        <v>0.15460318571010692</v>
      </c>
      <c r="ED24" s="1">
        <f t="shared" si="72"/>
        <v>0.21428202131755883</v>
      </c>
      <c r="EE24" s="1">
        <f t="shared" si="73"/>
        <v>0.003968154919619436</v>
      </c>
      <c r="EF24" s="1">
        <f t="shared" si="74"/>
        <v>1.101342874382741</v>
      </c>
      <c r="EG24" s="1">
        <f t="shared" si="75"/>
        <v>0.5753333435568184</v>
      </c>
      <c r="EH24" s="1">
        <f t="shared" si="76"/>
        <v>0.020961798012189784</v>
      </c>
      <c r="EI24" s="1">
        <f t="shared" si="77"/>
        <v>0</v>
      </c>
      <c r="EJ24" s="1">
        <f t="shared" si="78"/>
        <v>0.004843525802257541</v>
      </c>
      <c r="EK24" s="1">
        <f t="shared" si="210"/>
        <v>4.003046223475602</v>
      </c>
      <c r="EL24" s="1">
        <f t="shared" si="211"/>
        <v>0.006092446951204223</v>
      </c>
      <c r="EM24" s="1">
        <f t="shared" si="212"/>
        <v>0.009131716114804789</v>
      </c>
      <c r="EN24" s="1">
        <f t="shared" si="213"/>
        <v>0.020961798012189784</v>
      </c>
      <c r="EO24" s="1">
        <f t="shared" si="214"/>
        <v>0.047256802695966466</v>
      </c>
      <c r="EP24" s="1">
        <f t="shared" si="215"/>
        <v>0.019563891152992105</v>
      </c>
      <c r="EQ24" s="1">
        <f t="shared" si="216"/>
        <v>0.0024217629011287706</v>
      </c>
      <c r="ER24" s="2">
        <f t="shared" si="217"/>
        <v>0.5060908868067312</v>
      </c>
      <c r="ES24" s="1">
        <f t="shared" si="218"/>
        <v>0.4047670044467843</v>
      </c>
      <c r="ET24" s="1">
        <f t="shared" si="219"/>
        <v>1.0010621460157927</v>
      </c>
      <c r="EU24" s="1">
        <f t="shared" si="220"/>
        <v>0.5060908868067312</v>
      </c>
      <c r="EV24" s="1">
        <f t="shared" si="221"/>
        <v>2.4255856180084736</v>
      </c>
      <c r="EW24" s="1">
        <f t="shared" si="222"/>
        <v>-2.315340893625882</v>
      </c>
      <c r="EX24" s="1">
        <f t="shared" si="223"/>
        <v>-2.315340893625882</v>
      </c>
      <c r="EY24" s="1">
        <f t="shared" si="224"/>
        <v>0.6378246996169695</v>
      </c>
      <c r="EZ24" s="84">
        <f t="shared" si="191"/>
        <v>1524.7144118970177</v>
      </c>
      <c r="FA24" s="84">
        <f t="shared" si="192"/>
        <v>7.954323616651342</v>
      </c>
      <c r="FB24" s="1">
        <f t="shared" si="193"/>
        <v>0.15247144118970177</v>
      </c>
      <c r="FC24" s="2">
        <f t="shared" si="94"/>
        <v>-0.8766321546944089</v>
      </c>
      <c r="FD24" s="2">
        <f t="shared" si="95"/>
        <v>5.620051887330975</v>
      </c>
      <c r="FE24" s="1">
        <f t="shared" si="96"/>
        <v>7.173871027541104</v>
      </c>
      <c r="FF24" s="1">
        <f t="shared" si="225"/>
        <v>0.3672889625323136</v>
      </c>
      <c r="FG24" s="2"/>
      <c r="FH24" s="2">
        <f t="shared" si="98"/>
        <v>13.214039246478679</v>
      </c>
      <c r="FI24" s="2">
        <f t="shared" si="99"/>
        <v>0.2863333912863058</v>
      </c>
      <c r="FJ24" s="2">
        <f t="shared" si="226"/>
        <v>0.34264602053915283</v>
      </c>
      <c r="FK24" s="1">
        <f t="shared" si="227"/>
        <v>0.6002632964886276</v>
      </c>
      <c r="FL24" s="1">
        <f t="shared" si="228"/>
        <v>0.09325047823787924</v>
      </c>
      <c r="FM24" s="1">
        <f t="shared" si="229"/>
        <v>0.1181464534094053</v>
      </c>
      <c r="FN24" s="1">
        <f t="shared" si="230"/>
        <v>0.9176854945155826</v>
      </c>
      <c r="FO24" s="1">
        <f t="shared" si="105"/>
        <v>0.391846954233513</v>
      </c>
      <c r="FP24" s="1">
        <f t="shared" si="231"/>
        <v>0.2081895743663546</v>
      </c>
      <c r="FQ24" s="1">
        <f t="shared" si="232"/>
        <v>0.8818535465905947</v>
      </c>
      <c r="FR24" s="1">
        <f t="shared" si="108"/>
        <v>0.6908185586563323</v>
      </c>
      <c r="FS24" s="1">
        <f t="shared" si="233"/>
        <v>-0.0832210141626423</v>
      </c>
      <c r="FT24" s="1">
        <f t="shared" si="234"/>
        <v>0.08250851655978417</v>
      </c>
      <c r="FU24" s="1">
        <f t="shared" si="235"/>
        <v>0.08250851655978417</v>
      </c>
      <c r="FV24" s="1">
        <f t="shared" si="236"/>
        <v>0.12568105780657043</v>
      </c>
      <c r="FW24" s="1">
        <f t="shared" si="237"/>
        <v>0.31722818695158816</v>
      </c>
      <c r="FX24" s="1">
        <f t="shared" si="114"/>
        <v>0.7841146874311528</v>
      </c>
      <c r="FY24" s="1">
        <f t="shared" si="115"/>
        <v>0.5753333435568184</v>
      </c>
      <c r="FZ24" s="1">
        <f t="shared" si="116"/>
        <v>0.020961798012189784</v>
      </c>
      <c r="GA24" s="1">
        <f t="shared" si="117"/>
        <v>433.75075627731735</v>
      </c>
      <c r="GB24" s="1">
        <f t="shared" si="118"/>
        <v>11.892742507829803</v>
      </c>
      <c r="GC24" s="1">
        <f t="shared" si="119"/>
        <v>2.1134388299653453</v>
      </c>
      <c r="GD24" s="1">
        <f t="shared" si="238"/>
        <v>8.69151718823248E-06</v>
      </c>
      <c r="GE24" s="1">
        <f t="shared" si="239"/>
        <v>1762.9053262324574</v>
      </c>
      <c r="GF24" s="1">
        <f t="shared" si="122"/>
        <v>0.3796319901342992</v>
      </c>
      <c r="GG24" s="2">
        <f t="shared" si="123"/>
        <v>20.850892384262053</v>
      </c>
      <c r="GH24" s="4">
        <f t="shared" si="240"/>
        <v>6.80480887707934</v>
      </c>
      <c r="GI24" s="4">
        <f t="shared" si="241"/>
        <v>9.676413939865888</v>
      </c>
      <c r="GJ24" s="4">
        <f t="shared" si="126"/>
        <v>2.89</v>
      </c>
      <c r="GK24" s="4">
        <f t="shared" si="127"/>
        <v>4.813434059999992</v>
      </c>
      <c r="GL24" s="4">
        <f t="shared" si="242"/>
        <v>6.80480887707934</v>
      </c>
      <c r="GM24" s="1">
        <f t="shared" si="243"/>
        <v>433.75075627731735</v>
      </c>
      <c r="GN24" s="1">
        <f t="shared" si="243"/>
        <v>11.892742507829803</v>
      </c>
      <c r="GO24" s="4">
        <f t="shared" si="244"/>
        <v>6.5777337993312415</v>
      </c>
      <c r="GP24" s="4"/>
      <c r="GQ24" s="7">
        <f t="shared" si="131"/>
        <v>0.21215772928597404</v>
      </c>
      <c r="GR24" s="7">
        <f t="shared" si="245"/>
        <v>1.101342874382741</v>
      </c>
      <c r="GS24" s="7">
        <f t="shared" si="246"/>
        <v>0.006092446951204223</v>
      </c>
      <c r="GT24" s="7">
        <f t="shared" si="134"/>
        <v>0.014869351060985561</v>
      </c>
      <c r="GU24" s="7">
        <f t="shared" si="135"/>
        <v>0</v>
      </c>
      <c r="GV24" s="7">
        <f t="shared" si="136"/>
        <v>0.014869351060985561</v>
      </c>
      <c r="GW24" s="7">
        <f t="shared" si="247"/>
        <v>0</v>
      </c>
      <c r="GX24" s="7">
        <f t="shared" si="138"/>
        <v>0.053349249647170686</v>
      </c>
      <c r="GY24" s="7">
        <f t="shared" si="139"/>
        <v>0.08638458500195068</v>
      </c>
      <c r="GZ24" s="7">
        <f t="shared" si="248"/>
        <v>0.1615208464262598</v>
      </c>
      <c r="HA24" s="7">
        <f t="shared" si="141"/>
        <v>0.4099733412140165</v>
      </c>
      <c r="HB24" s="7">
        <f t="shared" si="142"/>
        <v>0.07897541734085117</v>
      </c>
      <c r="HC24" s="7">
        <f t="shared" si="249"/>
        <v>0.33849810799082464</v>
      </c>
      <c r="HD24" s="7">
        <f t="shared" si="250"/>
        <v>0.06520675044016719</v>
      </c>
      <c r="HE24" s="7">
        <f t="shared" si="251"/>
        <v>0.020961798012189784</v>
      </c>
      <c r="HF24" s="7"/>
      <c r="HG24" s="16">
        <f t="shared" si="252"/>
        <v>-8.39366033968341E-07</v>
      </c>
      <c r="HH24" s="16">
        <f t="shared" si="253"/>
        <v>1.2154547260401856E-12</v>
      </c>
      <c r="HI24" s="16">
        <f t="shared" si="254"/>
        <v>2.6466325028231208E-05</v>
      </c>
      <c r="HJ24" s="16">
        <f t="shared" si="255"/>
        <v>7.595959829499091E-09</v>
      </c>
      <c r="HK24" s="7">
        <f t="shared" si="256"/>
        <v>2.1134388299653453</v>
      </c>
      <c r="HL24" s="7">
        <f t="shared" si="151"/>
        <v>452.36639471819245</v>
      </c>
      <c r="HM24" s="7">
        <f t="shared" si="152"/>
        <v>4.315757531900789</v>
      </c>
      <c r="HN24" s="7">
        <f t="shared" si="153"/>
        <v>452.36598119609823</v>
      </c>
      <c r="HO24" s="7">
        <f t="shared" si="154"/>
        <v>5.451587240820574</v>
      </c>
      <c r="HP24" s="7">
        <f t="shared" si="155"/>
        <v>4.315757531900789</v>
      </c>
      <c r="HQ24" s="2">
        <f t="shared" si="257"/>
        <v>0.3672889625323136</v>
      </c>
      <c r="HR24" s="17">
        <f t="shared" si="157"/>
        <v>1205</v>
      </c>
      <c r="HS24" s="17"/>
      <c r="HT24" s="7">
        <f t="shared" si="258"/>
        <v>2.0794125078635473</v>
      </c>
      <c r="HU24" s="17">
        <f t="shared" si="159"/>
        <v>1762.9053262324574</v>
      </c>
      <c r="HV24" s="16">
        <f t="shared" si="259"/>
        <v>1.3086310415690024E-05</v>
      </c>
      <c r="HW24" s="1">
        <f t="shared" si="161"/>
        <v>0.576240215792763</v>
      </c>
      <c r="HX24" s="1">
        <f t="shared" si="260"/>
        <v>7813.4001478742475</v>
      </c>
      <c r="HY24" s="16">
        <f t="shared" si="163"/>
        <v>449.55548227194424</v>
      </c>
      <c r="HZ24" s="1">
        <f t="shared" si="164"/>
        <v>-0.05259345911492787</v>
      </c>
      <c r="IA24" s="1">
        <f t="shared" si="165"/>
        <v>12.41638926450764</v>
      </c>
      <c r="IB24" s="4">
        <f t="shared" si="261"/>
        <v>7.813400147874248</v>
      </c>
      <c r="IC24" s="17">
        <f t="shared" si="262"/>
        <v>6804.80887707934</v>
      </c>
      <c r="ID24" s="16">
        <f t="shared" si="168"/>
        <v>449.9149128012026</v>
      </c>
      <c r="IE24" s="7">
        <f t="shared" si="169"/>
        <v>-0.04581752000788394</v>
      </c>
      <c r="IF24" s="7">
        <f t="shared" si="170"/>
        <v>12.423165203614683</v>
      </c>
      <c r="IG24" s="4">
        <f t="shared" si="171"/>
        <v>6.80480887707934</v>
      </c>
      <c r="IH24" s="17">
        <f t="shared" si="263"/>
        <v>9676.413939865888</v>
      </c>
      <c r="II24" s="4">
        <f t="shared" si="173"/>
        <v>448.8943826153108</v>
      </c>
      <c r="IJ24" s="7">
        <f t="shared" si="174"/>
        <v>-0.06509943169048257</v>
      </c>
      <c r="IK24" s="7">
        <f t="shared" si="175"/>
        <v>12.403883291932084</v>
      </c>
      <c r="IL24" s="4">
        <f t="shared" si="176"/>
        <v>9.676413939865888</v>
      </c>
      <c r="IN24" s="1">
        <f t="shared" si="177"/>
        <v>6.85789800740452</v>
      </c>
      <c r="IO24" s="1">
        <f t="shared" si="178"/>
        <v>5.691857018678533</v>
      </c>
    </row>
    <row r="25" spans="1:249" ht="12.75">
      <c r="A25" s="1" t="s">
        <v>200</v>
      </c>
      <c r="B25" s="85" t="s">
        <v>203</v>
      </c>
      <c r="C25" s="3">
        <v>0.9</v>
      </c>
      <c r="D25" s="3">
        <v>1225</v>
      </c>
      <c r="F25" s="1">
        <v>5201</v>
      </c>
      <c r="G25" s="33">
        <v>50.1</v>
      </c>
      <c r="H25" s="33">
        <v>1.15</v>
      </c>
      <c r="I25" s="33">
        <v>16.2</v>
      </c>
      <c r="J25" s="33">
        <v>8.93</v>
      </c>
      <c r="K25" s="33">
        <v>0.12</v>
      </c>
      <c r="L25" s="33">
        <v>9.26</v>
      </c>
      <c r="M25" s="33">
        <v>11</v>
      </c>
      <c r="N25" s="33">
        <v>2.76</v>
      </c>
      <c r="O25" s="33">
        <v>0.13</v>
      </c>
      <c r="P25" s="33">
        <v>0.07</v>
      </c>
      <c r="Q25" s="33">
        <v>0.09</v>
      </c>
      <c r="R25" s="33">
        <v>0</v>
      </c>
      <c r="S25" s="4">
        <f t="shared" si="2"/>
        <v>99.81</v>
      </c>
      <c r="U25" s="33">
        <v>52.8</v>
      </c>
      <c r="V25" s="33">
        <v>0.65</v>
      </c>
      <c r="W25" s="33">
        <v>4.45</v>
      </c>
      <c r="X25" s="33">
        <v>6.43</v>
      </c>
      <c r="Y25" s="33">
        <v>0.17</v>
      </c>
      <c r="Z25" s="33">
        <v>20.1</v>
      </c>
      <c r="AA25" s="33">
        <v>15</v>
      </c>
      <c r="AB25" s="33">
        <v>0.37</v>
      </c>
      <c r="AC25" s="33">
        <v>0</v>
      </c>
      <c r="AD25" s="33">
        <v>0.13</v>
      </c>
      <c r="AF25" s="53">
        <f t="shared" si="179"/>
        <v>1543.120658173151</v>
      </c>
      <c r="AG25" s="53">
        <f t="shared" si="194"/>
        <v>9.889860031838632</v>
      </c>
      <c r="AI25" s="51">
        <f t="shared" si="3"/>
        <v>1543.120658173151</v>
      </c>
      <c r="AJ25" s="51">
        <f t="shared" si="196"/>
        <v>1269.9706581731512</v>
      </c>
      <c r="AK25" s="51">
        <f t="shared" si="180"/>
        <v>1540.6184245096824</v>
      </c>
      <c r="AL25" s="51">
        <f t="shared" si="197"/>
        <v>1267.4684245096823</v>
      </c>
      <c r="AM25" s="51">
        <f t="shared" si="6"/>
        <v>9.889860031838632</v>
      </c>
      <c r="AN25" s="51"/>
      <c r="AO25" s="51">
        <f t="shared" si="181"/>
        <v>1559.2452337247075</v>
      </c>
      <c r="AP25" s="51">
        <f t="shared" si="182"/>
        <v>9.304522832528392</v>
      </c>
      <c r="AQ25" s="51">
        <f t="shared" si="183"/>
        <v>1286.0952337247077</v>
      </c>
      <c r="AR25" s="70"/>
      <c r="AS25" s="90">
        <f t="shared" si="7"/>
        <v>0.42360874382607155</v>
      </c>
      <c r="AT25" s="90">
        <f t="shared" si="8"/>
        <v>0.35342738215935915</v>
      </c>
      <c r="AU25" s="90">
        <f t="shared" si="9"/>
        <v>0.0424659843509623</v>
      </c>
      <c r="AV25" s="90">
        <f t="shared" si="10"/>
        <v>0.012396081921752922</v>
      </c>
      <c r="AW25" s="90">
        <f t="shared" si="11"/>
        <v>0.016767531721332204</v>
      </c>
      <c r="AX25" s="90">
        <f t="shared" si="184"/>
        <v>0.004663303806076847</v>
      </c>
      <c r="AY25" s="51">
        <f t="shared" si="185"/>
        <v>0.8533290277855549</v>
      </c>
      <c r="AZ25" s="70"/>
      <c r="BA25" s="90">
        <f t="shared" si="12"/>
        <v>0.49569435036053183</v>
      </c>
      <c r="BB25" s="90">
        <f t="shared" si="0"/>
        <v>0.38888169208187573</v>
      </c>
      <c r="BC25" s="90">
        <f t="shared" si="1"/>
        <v>0.06565993249036975</v>
      </c>
      <c r="BD25" s="90">
        <f t="shared" si="13"/>
        <v>0.025849156948353855</v>
      </c>
      <c r="BE25" s="90">
        <f t="shared" si="14"/>
        <v>0.01590518522107974</v>
      </c>
      <c r="BF25" s="90">
        <f t="shared" si="15"/>
        <v>0.0018516693384582291</v>
      </c>
      <c r="BG25" s="90">
        <f t="shared" si="186"/>
        <v>0.9938419864406692</v>
      </c>
      <c r="BH25" s="90">
        <f t="shared" si="187"/>
        <v>0.33172212843954907</v>
      </c>
      <c r="BI25" s="70"/>
      <c r="BJ25" s="51">
        <f t="shared" si="16"/>
        <v>9.210427472479092</v>
      </c>
      <c r="BK25" s="51">
        <f t="shared" si="188"/>
        <v>9.863232449855154</v>
      </c>
      <c r="BL25" s="51">
        <f t="shared" si="17"/>
        <v>1270.5588544853076</v>
      </c>
      <c r="BM25" s="51">
        <f t="shared" si="18"/>
        <v>1270.7225895369606</v>
      </c>
      <c r="BN25" s="51">
        <f t="shared" si="189"/>
        <v>1270.7225895369606</v>
      </c>
      <c r="BO25" s="51"/>
      <c r="BP25" s="51">
        <f t="shared" si="19"/>
        <v>11.199017650375026</v>
      </c>
      <c r="BQ25" s="51">
        <f t="shared" si="20"/>
        <v>9.407841439679794</v>
      </c>
      <c r="BR25" s="51">
        <f t="shared" si="21"/>
        <v>9.28286168466726</v>
      </c>
      <c r="BS25" s="51">
        <f t="shared" si="22"/>
        <v>1262.5010253949717</v>
      </c>
      <c r="BT25" s="71">
        <f t="shared" si="190"/>
        <v>0.2949420440239673</v>
      </c>
      <c r="BU25" s="70"/>
      <c r="BV25" s="51">
        <f t="shared" si="23"/>
        <v>6.96111182206045</v>
      </c>
      <c r="BW25" s="51">
        <f t="shared" si="24"/>
        <v>7.816484050115873</v>
      </c>
      <c r="BX25" s="51">
        <f t="shared" si="25"/>
        <v>1272.8076294180196</v>
      </c>
      <c r="BY25" s="2"/>
      <c r="BZ25" s="1">
        <f t="shared" si="26"/>
        <v>0.8338284709982475</v>
      </c>
      <c r="CA25" s="1">
        <f t="shared" si="27"/>
        <v>0.014396811168920914</v>
      </c>
      <c r="CB25" s="1">
        <f t="shared" si="28"/>
        <v>0.3177685585665107</v>
      </c>
      <c r="CC25" s="1">
        <f t="shared" si="29"/>
        <v>0.12429293604133261</v>
      </c>
      <c r="CD25" s="1">
        <f t="shared" si="30"/>
        <v>0.0016916299559471366</v>
      </c>
      <c r="CE25" s="1">
        <f t="shared" si="31"/>
        <v>0.2297515903970782</v>
      </c>
      <c r="CF25" s="1">
        <f t="shared" si="32"/>
        <v>0.19615745380491964</v>
      </c>
      <c r="CG25" s="1">
        <f t="shared" si="33"/>
        <v>0.08906256806751975</v>
      </c>
      <c r="CH25" s="1">
        <f t="shared" si="34"/>
        <v>0.0027602021317253388</v>
      </c>
      <c r="CI25" s="1">
        <f t="shared" si="35"/>
        <v>0.0009210635389103293</v>
      </c>
      <c r="CJ25" s="1">
        <f t="shared" si="36"/>
        <v>0.0012681682718389143</v>
      </c>
      <c r="CK25" s="1">
        <f t="shared" si="198"/>
        <v>1.8118994529429506</v>
      </c>
      <c r="CM25" s="1">
        <f t="shared" si="38"/>
        <v>0.46019577391224115</v>
      </c>
      <c r="CN25" s="1">
        <f t="shared" si="39"/>
        <v>0.007945700930334245</v>
      </c>
      <c r="CO25" s="1">
        <f t="shared" si="40"/>
        <v>0.17537869336534093</v>
      </c>
      <c r="CP25" s="1">
        <f t="shared" si="41"/>
        <v>0.06859814204339632</v>
      </c>
      <c r="CQ25" s="1">
        <f t="shared" si="42"/>
        <v>0.0009336224221490503</v>
      </c>
      <c r="CR25" s="1">
        <f t="shared" si="43"/>
        <v>0.12680151209489446</v>
      </c>
      <c r="CS25" s="1">
        <f t="shared" si="44"/>
        <v>0.1082606727908184</v>
      </c>
      <c r="CT25" s="1">
        <f t="shared" si="45"/>
        <v>0.04915425517837715</v>
      </c>
      <c r="CU25" s="1">
        <f t="shared" si="46"/>
        <v>0.0015233748910526584</v>
      </c>
      <c r="CV25" s="1">
        <f t="shared" si="47"/>
        <v>0.0005083414189536321</v>
      </c>
      <c r="CW25" s="1">
        <f t="shared" si="48"/>
        <v>0.0006999109524422621</v>
      </c>
      <c r="CX25" s="1">
        <f t="shared" si="199"/>
        <v>1.0000000000000002</v>
      </c>
      <c r="CZ25" s="1">
        <f t="shared" si="50"/>
        <v>0.8787653347047398</v>
      </c>
      <c r="DA25" s="1">
        <f t="shared" si="51"/>
        <v>0.008137328051998778</v>
      </c>
      <c r="DB25" s="1">
        <f t="shared" si="52"/>
        <v>0.043644138445091754</v>
      </c>
      <c r="DC25" s="1">
        <f t="shared" si="53"/>
        <v>0.08949648138250489</v>
      </c>
      <c r="DD25" s="1">
        <f t="shared" si="54"/>
        <v>0.00239647577092511</v>
      </c>
      <c r="DE25" s="1">
        <f t="shared" si="55"/>
        <v>0.4987048560454938</v>
      </c>
      <c r="DF25" s="1">
        <f t="shared" si="56"/>
        <v>0.2674874370067086</v>
      </c>
      <c r="DG25" s="1">
        <f t="shared" si="57"/>
        <v>0.005969773584235925</v>
      </c>
      <c r="DH25" s="1">
        <f t="shared" si="58"/>
        <v>0</v>
      </c>
      <c r="DI25" s="1">
        <f t="shared" si="59"/>
        <v>0.0008552732861310201</v>
      </c>
      <c r="DJ25" s="1">
        <f t="shared" si="200"/>
        <v>1.79545709827783</v>
      </c>
      <c r="DL25" s="1">
        <f t="shared" si="201"/>
        <v>1.7575306694094797</v>
      </c>
      <c r="DM25" s="1">
        <f t="shared" si="201"/>
        <v>0.016274656103997556</v>
      </c>
      <c r="DN25" s="1">
        <f t="shared" si="202"/>
        <v>0.13093241533527528</v>
      </c>
      <c r="DO25" s="1">
        <f t="shared" si="203"/>
        <v>0.08949648138250489</v>
      </c>
      <c r="DP25" s="1">
        <f t="shared" si="203"/>
        <v>0.00239647577092511</v>
      </c>
      <c r="DQ25" s="1">
        <f t="shared" si="203"/>
        <v>0.4987048560454938</v>
      </c>
      <c r="DR25" s="1">
        <f t="shared" si="204"/>
        <v>0.2674874370067086</v>
      </c>
      <c r="DS25" s="1">
        <f t="shared" si="204"/>
        <v>0.005969773584235925</v>
      </c>
      <c r="DT25" s="1">
        <f t="shared" si="204"/>
        <v>0</v>
      </c>
      <c r="DU25" s="1">
        <f t="shared" si="205"/>
        <v>0.00256581985839306</v>
      </c>
      <c r="DV25" s="1">
        <f t="shared" si="206"/>
        <v>2.771358584497014</v>
      </c>
      <c r="DW25" s="1">
        <f t="shared" si="207"/>
        <v>2.165003126468012</v>
      </c>
      <c r="DY25" s="1">
        <f t="shared" si="67"/>
        <v>1.9025296970674708</v>
      </c>
      <c r="DZ25" s="1">
        <f t="shared" si="68"/>
        <v>0.017617340673673213</v>
      </c>
      <c r="EA25" s="1">
        <f t="shared" si="208"/>
        <v>0.09747030293252923</v>
      </c>
      <c r="EB25" s="1">
        <f t="shared" si="209"/>
        <v>0.0915090894387236</v>
      </c>
      <c r="EC25" s="1">
        <f t="shared" si="71"/>
        <v>0.18897939237125283</v>
      </c>
      <c r="ED25" s="1">
        <f t="shared" si="72"/>
        <v>0.19376016200100932</v>
      </c>
      <c r="EE25" s="1">
        <f t="shared" si="73"/>
        <v>0.005188377536557703</v>
      </c>
      <c r="EF25" s="1">
        <f t="shared" si="74"/>
        <v>1.079697572523274</v>
      </c>
      <c r="EG25" s="1">
        <f t="shared" si="75"/>
        <v>0.5791111374104395</v>
      </c>
      <c r="EH25" s="1">
        <f t="shared" si="76"/>
        <v>0.025849156948353855</v>
      </c>
      <c r="EI25" s="1">
        <f t="shared" si="77"/>
        <v>0</v>
      </c>
      <c r="EJ25" s="1">
        <f t="shared" si="78"/>
        <v>0.0037033386769164582</v>
      </c>
      <c r="EK25" s="1">
        <f t="shared" si="210"/>
        <v>3.996436175208948</v>
      </c>
      <c r="EL25" s="1">
        <f t="shared" si="211"/>
        <v>0</v>
      </c>
      <c r="EM25" s="1">
        <f t="shared" si="212"/>
        <v>-0.010701008503003706</v>
      </c>
      <c r="EN25" s="1">
        <f t="shared" si="213"/>
        <v>0.025849156948353855</v>
      </c>
      <c r="EO25" s="1">
        <f t="shared" si="214"/>
        <v>0.06565993249036975</v>
      </c>
      <c r="EP25" s="1">
        <f t="shared" si="215"/>
        <v>0.01590518522107974</v>
      </c>
      <c r="EQ25" s="1">
        <f t="shared" si="216"/>
        <v>0.0018516693384582291</v>
      </c>
      <c r="ER25" s="2">
        <f t="shared" si="217"/>
        <v>0.49569435036053183</v>
      </c>
      <c r="ES25" s="1">
        <f t="shared" si="218"/>
        <v>0.38888169208187573</v>
      </c>
      <c r="ET25" s="1">
        <f t="shared" si="219"/>
        <v>0.9938419864406691</v>
      </c>
      <c r="EU25" s="1">
        <f t="shared" si="220"/>
        <v>0.49569435036053183</v>
      </c>
      <c r="EV25" s="1">
        <f t="shared" si="221"/>
        <v>2.650328819131883</v>
      </c>
      <c r="EW25" s="1">
        <f t="shared" si="222"/>
        <v>-2.0560036111502447</v>
      </c>
      <c r="EX25" s="1">
        <f t="shared" si="223"/>
        <v>-2.0560036111502447</v>
      </c>
      <c r="EY25" s="1">
        <f t="shared" si="224"/>
        <v>0.6489341685587265</v>
      </c>
      <c r="EZ25" s="84">
        <f t="shared" si="191"/>
        <v>1543.120658173151</v>
      </c>
      <c r="FA25" s="84">
        <f t="shared" si="192"/>
        <v>9.889860031838632</v>
      </c>
      <c r="FB25" s="1">
        <f t="shared" si="193"/>
        <v>0.1543120658173151</v>
      </c>
      <c r="FC25" s="2">
        <f t="shared" si="94"/>
        <v>-0.3864973007072538</v>
      </c>
      <c r="FD25" s="2">
        <f t="shared" si="95"/>
        <v>5.607264484074709</v>
      </c>
      <c r="FE25" s="1">
        <f t="shared" si="96"/>
        <v>8.109763721165237</v>
      </c>
      <c r="FF25" s="1">
        <f t="shared" si="225"/>
        <v>0.35187531928752475</v>
      </c>
      <c r="FG25" s="2"/>
      <c r="FH25" s="2">
        <f t="shared" si="98"/>
        <v>13.538061462048669</v>
      </c>
      <c r="FI25" s="2">
        <f t="shared" si="99"/>
        <v>0.2852426249263629</v>
      </c>
      <c r="FJ25" s="2">
        <f t="shared" si="226"/>
        <v>0.33172212843954907</v>
      </c>
      <c r="FK25" s="1">
        <f t="shared" si="227"/>
        <v>0.610148671895351</v>
      </c>
      <c r="FL25" s="1">
        <f t="shared" si="228"/>
        <v>0.11282976878931326</v>
      </c>
      <c r="FM25" s="1">
        <f t="shared" si="229"/>
        <v>0.11903787623189616</v>
      </c>
      <c r="FN25" s="1">
        <f t="shared" si="230"/>
        <v>0.8908735698876031</v>
      </c>
      <c r="FO25" s="1">
        <f t="shared" si="105"/>
        <v>0.3825841646366801</v>
      </c>
      <c r="FP25" s="1">
        <f t="shared" si="231"/>
        <v>0.19376016200100932</v>
      </c>
      <c r="FQ25" s="1">
        <f t="shared" si="232"/>
        <v>0.8809621237681038</v>
      </c>
      <c r="FR25" s="1">
        <f t="shared" si="108"/>
        <v>0.6657293219678009</v>
      </c>
      <c r="FS25" s="1">
        <f t="shared" si="233"/>
        <v>-0.07553765648986542</v>
      </c>
      <c r="FT25" s="1">
        <f t="shared" si="234"/>
        <v>0.0777523747864983</v>
      </c>
      <c r="FU25" s="1">
        <f t="shared" si="235"/>
        <v>0.0777523747864983</v>
      </c>
      <c r="FV25" s="1">
        <f t="shared" si="236"/>
        <v>0.11600778721451102</v>
      </c>
      <c r="FW25" s="1">
        <f t="shared" si="237"/>
        <v>0.31209895331815063</v>
      </c>
      <c r="FX25" s="1">
        <f t="shared" si="114"/>
        <v>0.7675986192051234</v>
      </c>
      <c r="FY25" s="1">
        <f t="shared" si="115"/>
        <v>0.5791111374104395</v>
      </c>
      <c r="FZ25" s="1">
        <f t="shared" si="116"/>
        <v>0.025849156948353855</v>
      </c>
      <c r="GA25" s="1">
        <f t="shared" si="117"/>
        <v>433.26180388143547</v>
      </c>
      <c r="GB25" s="1">
        <f t="shared" si="118"/>
        <v>11.822809063486188</v>
      </c>
      <c r="GC25" s="1">
        <f t="shared" si="119"/>
        <v>2.123319459880882</v>
      </c>
      <c r="GD25" s="1">
        <f t="shared" si="238"/>
        <v>8.732151278760127E-06</v>
      </c>
      <c r="GE25" s="1">
        <f t="shared" si="239"/>
        <v>1781.1938736986529</v>
      </c>
      <c r="GF25" s="1">
        <f t="shared" si="122"/>
        <v>0.37759377698471513</v>
      </c>
      <c r="GG25" s="2">
        <f t="shared" si="123"/>
        <v>22.25748668466725</v>
      </c>
      <c r="GH25" s="4">
        <f t="shared" si="240"/>
        <v>8.721254687708571</v>
      </c>
      <c r="GI25" s="4">
        <f t="shared" si="241"/>
        <v>11.868325285415377</v>
      </c>
      <c r="GJ25" s="4">
        <f t="shared" si="126"/>
        <v>2.8899999999999997</v>
      </c>
      <c r="GK25" s="4">
        <f t="shared" si="127"/>
        <v>4.813434059999992</v>
      </c>
      <c r="GL25" s="4">
        <f t="shared" si="242"/>
        <v>8.721254687708571</v>
      </c>
      <c r="GM25" s="1">
        <f t="shared" si="243"/>
        <v>433.26180388143547</v>
      </c>
      <c r="GN25" s="1">
        <f t="shared" si="243"/>
        <v>11.822809063486188</v>
      </c>
      <c r="GO25" s="4">
        <f t="shared" si="244"/>
        <v>8.348028669018817</v>
      </c>
      <c r="GP25" s="4"/>
      <c r="GQ25" s="7">
        <f t="shared" si="131"/>
        <v>0.19894853953756703</v>
      </c>
      <c r="GR25" s="7">
        <f t="shared" si="245"/>
        <v>1.079697572523274</v>
      </c>
      <c r="GS25" s="7">
        <f t="shared" si="246"/>
        <v>0</v>
      </c>
      <c r="GT25" s="7">
        <f t="shared" si="134"/>
        <v>0.025849156948353855</v>
      </c>
      <c r="GU25" s="7">
        <f t="shared" si="135"/>
        <v>0</v>
      </c>
      <c r="GV25" s="7">
        <f t="shared" si="136"/>
        <v>0.025849156948353855</v>
      </c>
      <c r="GW25" s="7">
        <f t="shared" si="247"/>
        <v>0</v>
      </c>
      <c r="GX25" s="7">
        <f t="shared" si="138"/>
        <v>0.06565993249036975</v>
      </c>
      <c r="GY25" s="7">
        <f t="shared" si="139"/>
        <v>0.10459795251463264</v>
      </c>
      <c r="GZ25" s="7">
        <f t="shared" si="248"/>
        <v>0.15559312124049268</v>
      </c>
      <c r="HA25" s="7">
        <f t="shared" si="141"/>
        <v>0.4006821973881013</v>
      </c>
      <c r="HB25" s="7">
        <f t="shared" si="142"/>
        <v>0.0738309875077056</v>
      </c>
      <c r="HC25" s="7">
        <f t="shared" si="249"/>
        <v>0.3335742448265658</v>
      </c>
      <c r="HD25" s="7">
        <f t="shared" si="250"/>
        <v>0.06146546081464079</v>
      </c>
      <c r="HE25" s="7">
        <f t="shared" si="251"/>
        <v>0.025849156948353855</v>
      </c>
      <c r="HF25" s="7"/>
      <c r="HG25" s="16">
        <f t="shared" si="252"/>
        <v>-8.392616006647258E-07</v>
      </c>
      <c r="HH25" s="16">
        <f t="shared" si="253"/>
        <v>1.2389699920299972E-12</v>
      </c>
      <c r="HI25" s="16">
        <f t="shared" si="254"/>
        <v>2.633789830945187E-05</v>
      </c>
      <c r="HJ25" s="16">
        <f t="shared" si="255"/>
        <v>7.519682622794683E-09</v>
      </c>
      <c r="HK25" s="7">
        <f t="shared" si="256"/>
        <v>2.123319459880882</v>
      </c>
      <c r="HL25" s="7">
        <f t="shared" si="151"/>
        <v>451.64474698094944</v>
      </c>
      <c r="HM25" s="7">
        <f t="shared" si="152"/>
        <v>5.530746747335344</v>
      </c>
      <c r="HN25" s="7">
        <f t="shared" si="153"/>
        <v>451.64433207654764</v>
      </c>
      <c r="HO25" s="7">
        <f t="shared" si="154"/>
        <v>6.671805766541829</v>
      </c>
      <c r="HP25" s="7">
        <f t="shared" si="155"/>
        <v>5.530746747335344</v>
      </c>
      <c r="HQ25" s="2">
        <f t="shared" si="257"/>
        <v>0.35187531928752475</v>
      </c>
      <c r="HR25" s="17">
        <f t="shared" si="157"/>
        <v>1200</v>
      </c>
      <c r="HS25" s="17"/>
      <c r="HT25" s="7">
        <f t="shared" si="258"/>
        <v>2.0754955356458615</v>
      </c>
      <c r="HU25" s="17">
        <f t="shared" si="159"/>
        <v>1781.1938736986529</v>
      </c>
      <c r="HV25" s="16">
        <f t="shared" si="259"/>
        <v>1.3032131628319828E-05</v>
      </c>
      <c r="HW25" s="1">
        <f t="shared" si="161"/>
        <v>0.5679990840451158</v>
      </c>
      <c r="HX25" s="1">
        <f t="shared" si="260"/>
        <v>10806.634740335681</v>
      </c>
      <c r="HY25" s="16">
        <f t="shared" si="163"/>
        <v>447.77993833514523</v>
      </c>
      <c r="HZ25" s="1">
        <f t="shared" si="164"/>
        <v>-0.07151291840853634</v>
      </c>
      <c r="IA25" s="1">
        <f t="shared" si="165"/>
        <v>12.319295229122767</v>
      </c>
      <c r="IB25" s="4">
        <f t="shared" si="261"/>
        <v>10.806634740335681</v>
      </c>
      <c r="IC25" s="17">
        <f t="shared" si="262"/>
        <v>8721.254687708572</v>
      </c>
      <c r="ID25" s="16">
        <f t="shared" si="168"/>
        <v>448.5163641411926</v>
      </c>
      <c r="IE25" s="7">
        <f t="shared" si="169"/>
        <v>-0.0577466153548435</v>
      </c>
      <c r="IF25" s="7">
        <f t="shared" si="170"/>
        <v>12.33306153217646</v>
      </c>
      <c r="IG25" s="4">
        <f t="shared" si="171"/>
        <v>8.721254687708571</v>
      </c>
      <c r="IH25" s="17">
        <f t="shared" si="263"/>
        <v>11868.325285415378</v>
      </c>
      <c r="II25" s="4">
        <f t="shared" si="173"/>
        <v>447.4068091960976</v>
      </c>
      <c r="IJ25" s="7">
        <f t="shared" si="174"/>
        <v>-0.0785153278889121</v>
      </c>
      <c r="IK25" s="7">
        <f t="shared" si="175"/>
        <v>12.312292819642392</v>
      </c>
      <c r="IL25" s="4">
        <f t="shared" si="176"/>
        <v>11.868325285415377</v>
      </c>
      <c r="IN25" s="1">
        <f t="shared" si="177"/>
        <v>7.152733953934492</v>
      </c>
      <c r="IO25" s="1">
        <f t="shared" si="178"/>
        <v>6.291342448213626</v>
      </c>
    </row>
    <row r="26" spans="1:249" ht="12.75">
      <c r="A26" s="1" t="s">
        <v>200</v>
      </c>
      <c r="B26" s="85" t="s">
        <v>204</v>
      </c>
      <c r="C26" s="3">
        <v>1.1</v>
      </c>
      <c r="D26" s="3">
        <v>1260</v>
      </c>
      <c r="F26" s="1">
        <v>5202</v>
      </c>
      <c r="G26" s="33">
        <v>48.7</v>
      </c>
      <c r="H26" s="33">
        <v>1.24</v>
      </c>
      <c r="I26" s="33">
        <v>17.7</v>
      </c>
      <c r="J26" s="33">
        <v>8.14</v>
      </c>
      <c r="K26" s="33">
        <v>0.17</v>
      </c>
      <c r="L26" s="33">
        <v>9.56</v>
      </c>
      <c r="M26" s="33">
        <v>10.5</v>
      </c>
      <c r="N26" s="33">
        <v>3.14</v>
      </c>
      <c r="O26" s="33">
        <v>0.14</v>
      </c>
      <c r="P26" s="33">
        <v>0.03</v>
      </c>
      <c r="Q26" s="33">
        <v>0.13</v>
      </c>
      <c r="R26" s="33">
        <v>0</v>
      </c>
      <c r="S26" s="4">
        <f t="shared" si="2"/>
        <v>99.45</v>
      </c>
      <c r="U26" s="33">
        <v>51.3</v>
      </c>
      <c r="V26" s="33">
        <v>0.58</v>
      </c>
      <c r="W26" s="33">
        <v>7.01</v>
      </c>
      <c r="X26" s="33">
        <v>5.8</v>
      </c>
      <c r="Y26" s="33">
        <v>0.16</v>
      </c>
      <c r="Z26" s="33">
        <v>19.9</v>
      </c>
      <c r="AA26" s="33">
        <v>14.3</v>
      </c>
      <c r="AB26" s="33">
        <v>0.5</v>
      </c>
      <c r="AC26" s="33">
        <v>0</v>
      </c>
      <c r="AD26" s="33">
        <v>0.18</v>
      </c>
      <c r="AF26" s="53">
        <f t="shared" si="179"/>
        <v>1570.7079089687306</v>
      </c>
      <c r="AG26" s="53">
        <f t="shared" si="194"/>
        <v>12.617015660551388</v>
      </c>
      <c r="AI26" s="51">
        <f t="shared" si="3"/>
        <v>1570.7079089687306</v>
      </c>
      <c r="AJ26" s="51">
        <f t="shared" si="196"/>
        <v>1297.5579089687308</v>
      </c>
      <c r="AK26" s="51">
        <f t="shared" si="180"/>
        <v>1570.887226806601</v>
      </c>
      <c r="AL26" s="51">
        <f t="shared" si="197"/>
        <v>1297.737226806601</v>
      </c>
      <c r="AM26" s="51">
        <f t="shared" si="6"/>
        <v>12.617015660551388</v>
      </c>
      <c r="AN26" s="51"/>
      <c r="AO26" s="51">
        <f t="shared" si="181"/>
        <v>1573.6826344948186</v>
      </c>
      <c r="AP26" s="51">
        <f t="shared" si="182"/>
        <v>12.47769299300451</v>
      </c>
      <c r="AQ26" s="51">
        <f t="shared" si="183"/>
        <v>1300.5326344948185</v>
      </c>
      <c r="AR26" s="70"/>
      <c r="AS26" s="90">
        <f t="shared" si="7"/>
        <v>0.37372266665261994</v>
      </c>
      <c r="AT26" s="90">
        <f t="shared" si="8"/>
        <v>0.3733396644265783</v>
      </c>
      <c r="AU26" s="90">
        <f t="shared" si="9"/>
        <v>0.055761421679665836</v>
      </c>
      <c r="AV26" s="90">
        <f t="shared" si="10"/>
        <v>0.014419564671236212</v>
      </c>
      <c r="AW26" s="90">
        <f t="shared" si="11"/>
        <v>0.017903894022439314</v>
      </c>
      <c r="AX26" s="90">
        <f t="shared" si="184"/>
        <v>0.0007808675814141316</v>
      </c>
      <c r="AY26" s="51">
        <f t="shared" si="185"/>
        <v>0.8359280790339536</v>
      </c>
      <c r="AZ26" s="70"/>
      <c r="BA26" s="90">
        <f t="shared" si="12"/>
        <v>0.41808410200726764</v>
      </c>
      <c r="BB26" s="90">
        <f t="shared" si="0"/>
        <v>0.4127400133624137</v>
      </c>
      <c r="BC26" s="90">
        <f t="shared" si="1"/>
        <v>0.11096298764198548</v>
      </c>
      <c r="BD26" s="90">
        <f t="shared" si="13"/>
        <v>0.03492662896855403</v>
      </c>
      <c r="BE26" s="90">
        <f t="shared" si="14"/>
        <v>0.02040163649434326</v>
      </c>
      <c r="BF26" s="90">
        <f t="shared" si="15"/>
        <v>0.0025635075149063632</v>
      </c>
      <c r="BG26" s="90">
        <f t="shared" si="186"/>
        <v>0.9996788759894706</v>
      </c>
      <c r="BH26" s="90">
        <f t="shared" si="187"/>
        <v>0.3423011865222921</v>
      </c>
      <c r="BI26" s="70"/>
      <c r="BJ26" s="51">
        <f t="shared" si="16"/>
        <v>11.72455305372399</v>
      </c>
      <c r="BK26" s="51">
        <f t="shared" si="188"/>
        <v>13.010842109357464</v>
      </c>
      <c r="BL26" s="51">
        <f t="shared" si="17"/>
        <v>1297.2034025019348</v>
      </c>
      <c r="BM26" s="51">
        <f t="shared" si="18"/>
        <v>1295.0200076114606</v>
      </c>
      <c r="BN26" s="51">
        <f t="shared" si="189"/>
        <v>1295.0200076114606</v>
      </c>
      <c r="BO26" s="51"/>
      <c r="BP26" s="51">
        <f t="shared" si="19"/>
        <v>13.60200981482285</v>
      </c>
      <c r="BQ26" s="51">
        <f t="shared" si="20"/>
        <v>11.723009861830295</v>
      </c>
      <c r="BR26" s="51">
        <f t="shared" si="21"/>
        <v>12.627420385288211</v>
      </c>
      <c r="BS26" s="51">
        <f t="shared" si="22"/>
        <v>1294.2410238799712</v>
      </c>
      <c r="BT26" s="71">
        <f t="shared" si="190"/>
        <v>0.30076952912388216</v>
      </c>
      <c r="BU26" s="70"/>
      <c r="BV26" s="51">
        <f t="shared" si="23"/>
        <v>11.230059155950961</v>
      </c>
      <c r="BW26" s="51">
        <f t="shared" si="24"/>
        <v>12.40531856216831</v>
      </c>
      <c r="BX26" s="51">
        <f t="shared" si="25"/>
        <v>1302.0455075446894</v>
      </c>
      <c r="BY26" s="2"/>
      <c r="BZ26" s="1">
        <f t="shared" si="26"/>
        <v>0.8105278750022885</v>
      </c>
      <c r="CA26" s="1">
        <f t="shared" si="27"/>
        <v>0.0155235181299669</v>
      </c>
      <c r="CB26" s="1">
        <f t="shared" si="28"/>
        <v>0.34719157324859506</v>
      </c>
      <c r="CC26" s="1">
        <f t="shared" si="29"/>
        <v>0.11329725636914306</v>
      </c>
      <c r="CD26" s="1">
        <f t="shared" si="30"/>
        <v>0.00239647577092511</v>
      </c>
      <c r="CE26" s="1">
        <f t="shared" si="31"/>
        <v>0.23719494645745876</v>
      </c>
      <c r="CF26" s="1">
        <f t="shared" si="32"/>
        <v>0.187241205904696</v>
      </c>
      <c r="CG26" s="1">
        <f t="shared" si="33"/>
        <v>0.10132480570000435</v>
      </c>
      <c r="CH26" s="1">
        <f t="shared" si="34"/>
        <v>0.002972525372627288</v>
      </c>
      <c r="CI26" s="1">
        <f t="shared" si="35"/>
        <v>0.00039474151667585536</v>
      </c>
      <c r="CJ26" s="1">
        <f t="shared" si="36"/>
        <v>0.001831798614878432</v>
      </c>
      <c r="CK26" s="1">
        <f t="shared" si="198"/>
        <v>1.8198967220872595</v>
      </c>
      <c r="CM26" s="1">
        <f t="shared" si="38"/>
        <v>0.44537025929289287</v>
      </c>
      <c r="CN26" s="1">
        <f t="shared" si="39"/>
        <v>0.008529889603934672</v>
      </c>
      <c r="CO26" s="1">
        <f t="shared" si="40"/>
        <v>0.19077542644859388</v>
      </c>
      <c r="CP26" s="1">
        <f t="shared" si="41"/>
        <v>0.062254772479177385</v>
      </c>
      <c r="CQ26" s="1">
        <f t="shared" si="42"/>
        <v>0.0013168196534672394</v>
      </c>
      <c r="CR26" s="1">
        <f t="shared" si="43"/>
        <v>0.1303342896213458</v>
      </c>
      <c r="CS26" s="1">
        <f t="shared" si="44"/>
        <v>0.10288562182251035</v>
      </c>
      <c r="CT26" s="1">
        <f t="shared" si="45"/>
        <v>0.05567612956838222</v>
      </c>
      <c r="CU26" s="1">
        <f t="shared" si="46"/>
        <v>0.0016333483854062147</v>
      </c>
      <c r="CV26" s="1">
        <f t="shared" si="47"/>
        <v>0.00021690325164338005</v>
      </c>
      <c r="CW26" s="1">
        <f t="shared" si="48"/>
        <v>0.001006539872645917</v>
      </c>
      <c r="CX26" s="1">
        <f t="shared" si="199"/>
        <v>0.9999999999999999</v>
      </c>
      <c r="CZ26" s="1">
        <f t="shared" si="50"/>
        <v>0.8538004104233552</v>
      </c>
      <c r="DA26" s="1">
        <f t="shared" si="51"/>
        <v>0.007261000415629678</v>
      </c>
      <c r="DB26" s="1">
        <f t="shared" si="52"/>
        <v>0.06875177764047037</v>
      </c>
      <c r="DC26" s="1">
        <f t="shared" si="53"/>
        <v>0.08072777480848031</v>
      </c>
      <c r="DD26" s="1">
        <f t="shared" si="54"/>
        <v>0.0022555066079295153</v>
      </c>
      <c r="DE26" s="1">
        <f t="shared" si="55"/>
        <v>0.4937426186719067</v>
      </c>
      <c r="DF26" s="1">
        <f t="shared" si="56"/>
        <v>0.2550046899463955</v>
      </c>
      <c r="DG26" s="1">
        <f t="shared" si="57"/>
        <v>0.008067261600318818</v>
      </c>
      <c r="DH26" s="1">
        <f t="shared" si="58"/>
        <v>0</v>
      </c>
      <c r="DI26" s="1">
        <f t="shared" si="59"/>
        <v>0.001184224550027566</v>
      </c>
      <c r="DJ26" s="1">
        <f t="shared" si="200"/>
        <v>1.7707952646645138</v>
      </c>
      <c r="DL26" s="1">
        <f t="shared" si="201"/>
        <v>1.7076008208467104</v>
      </c>
      <c r="DM26" s="1">
        <f t="shared" si="201"/>
        <v>0.014522000831259357</v>
      </c>
      <c r="DN26" s="1">
        <f t="shared" si="202"/>
        <v>0.20625533292141113</v>
      </c>
      <c r="DO26" s="1">
        <f t="shared" si="203"/>
        <v>0.08072777480848031</v>
      </c>
      <c r="DP26" s="1">
        <f t="shared" si="203"/>
        <v>0.0022555066079295153</v>
      </c>
      <c r="DQ26" s="1">
        <f t="shared" si="203"/>
        <v>0.4937426186719067</v>
      </c>
      <c r="DR26" s="1">
        <f t="shared" si="204"/>
        <v>0.2550046899463955</v>
      </c>
      <c r="DS26" s="1">
        <f t="shared" si="204"/>
        <v>0.008067261600318818</v>
      </c>
      <c r="DT26" s="1">
        <f t="shared" si="204"/>
        <v>0</v>
      </c>
      <c r="DU26" s="1">
        <f t="shared" si="205"/>
        <v>0.003552673650082698</v>
      </c>
      <c r="DV26" s="1">
        <f t="shared" si="206"/>
        <v>2.771728679884495</v>
      </c>
      <c r="DW26" s="1">
        <f t="shared" si="207"/>
        <v>2.1647140441791133</v>
      </c>
      <c r="DY26" s="1">
        <f t="shared" si="67"/>
        <v>1.848233739369328</v>
      </c>
      <c r="DZ26" s="1">
        <f t="shared" si="68"/>
        <v>0.015717989574503943</v>
      </c>
      <c r="EA26" s="1">
        <f t="shared" si="208"/>
        <v>0.151766260630672</v>
      </c>
      <c r="EB26" s="1">
        <f t="shared" si="209"/>
        <v>0.1458896166105395</v>
      </c>
      <c r="EC26" s="1">
        <f t="shared" si="71"/>
        <v>0.2976558772412115</v>
      </c>
      <c r="ED26" s="1">
        <f t="shared" si="72"/>
        <v>0.17475254788324615</v>
      </c>
      <c r="EE26" s="1">
        <f t="shared" si="73"/>
        <v>0.004882526830923815</v>
      </c>
      <c r="EF26" s="1">
        <f t="shared" si="74"/>
        <v>1.068811580848849</v>
      </c>
      <c r="EG26" s="1">
        <f t="shared" si="75"/>
        <v>0.5520122336585027</v>
      </c>
      <c r="EH26" s="1">
        <f t="shared" si="76"/>
        <v>0.03492662896855403</v>
      </c>
      <c r="EI26" s="1">
        <f t="shared" si="77"/>
        <v>0</v>
      </c>
      <c r="EJ26" s="1">
        <f t="shared" si="78"/>
        <v>0.0051270150298127265</v>
      </c>
      <c r="EK26" s="1">
        <f t="shared" si="210"/>
        <v>4.002120139404932</v>
      </c>
      <c r="EL26" s="1">
        <f t="shared" si="211"/>
        <v>0.004240278809865911</v>
      </c>
      <c r="EM26" s="1">
        <f t="shared" si="212"/>
        <v>0.00635704875740295</v>
      </c>
      <c r="EN26" s="1">
        <f t="shared" si="213"/>
        <v>0.03492662896855403</v>
      </c>
      <c r="EO26" s="1">
        <f t="shared" si="214"/>
        <v>0.11096298764198548</v>
      </c>
      <c r="EP26" s="1">
        <f t="shared" si="215"/>
        <v>0.02040163649434326</v>
      </c>
      <c r="EQ26" s="1">
        <f t="shared" si="216"/>
        <v>0.0025635075149063632</v>
      </c>
      <c r="ER26" s="2">
        <f t="shared" si="217"/>
        <v>0.41808410200726764</v>
      </c>
      <c r="ES26" s="1">
        <f t="shared" si="218"/>
        <v>0.4127400133624137</v>
      </c>
      <c r="ET26" s="1">
        <f t="shared" si="219"/>
        <v>0.9996788759894705</v>
      </c>
      <c r="EU26" s="1">
        <f t="shared" si="220"/>
        <v>0.4180841020072676</v>
      </c>
      <c r="EV26" s="1">
        <f t="shared" si="221"/>
        <v>2.808054963708021</v>
      </c>
      <c r="EW26" s="1">
        <f t="shared" si="222"/>
        <v>-1.8589049169126102</v>
      </c>
      <c r="EX26" s="1">
        <f t="shared" si="223"/>
        <v>-1.85890491691261</v>
      </c>
      <c r="EY26" s="1">
        <f t="shared" si="224"/>
        <v>0.6767481403139962</v>
      </c>
      <c r="EZ26" s="84">
        <f t="shared" si="191"/>
        <v>1570.7079089687306</v>
      </c>
      <c r="FA26" s="84">
        <f t="shared" si="192"/>
        <v>12.617015660551388</v>
      </c>
      <c r="FB26" s="1">
        <f t="shared" si="193"/>
        <v>0.15707079089687306</v>
      </c>
      <c r="FC26" s="2">
        <f t="shared" si="94"/>
        <v>-0.11377066331821131</v>
      </c>
      <c r="FD26" s="2">
        <f t="shared" si="95"/>
        <v>5.619269433705477</v>
      </c>
      <c r="FE26" s="1">
        <f t="shared" si="96"/>
        <v>11.105316578220208</v>
      </c>
      <c r="FF26" s="1">
        <f t="shared" si="225"/>
        <v>0.3433137979004971</v>
      </c>
      <c r="FG26" s="2"/>
      <c r="FH26" s="2">
        <f t="shared" si="98"/>
        <v>15.518506070386072</v>
      </c>
      <c r="FI26" s="2">
        <f t="shared" si="99"/>
        <v>0.2928130244256625</v>
      </c>
      <c r="FJ26" s="2">
        <f t="shared" si="226"/>
        <v>0.3423011865222921</v>
      </c>
      <c r="FK26" s="1">
        <f t="shared" si="227"/>
        <v>0.5918213894579806</v>
      </c>
      <c r="FL26" s="1">
        <f t="shared" si="228"/>
        <v>0.17097490002472207</v>
      </c>
      <c r="FM26" s="1">
        <f t="shared" si="229"/>
        <v>0.12005904779803266</v>
      </c>
      <c r="FN26" s="1">
        <f t="shared" si="230"/>
        <v>0.8383923938149564</v>
      </c>
      <c r="FO26" s="1">
        <f t="shared" si="105"/>
        <v>0.40093145610727277</v>
      </c>
      <c r="FP26" s="1">
        <f t="shared" si="231"/>
        <v>0.17051226907338024</v>
      </c>
      <c r="FQ26" s="1">
        <f t="shared" si="232"/>
        <v>0.8799409522019673</v>
      </c>
      <c r="FR26" s="1">
        <f t="shared" si="108"/>
        <v>0.6580058449744236</v>
      </c>
      <c r="FS26" s="1">
        <f t="shared" si="233"/>
        <v>-0.06959946107073929</v>
      </c>
      <c r="FT26" s="1">
        <f t="shared" si="234"/>
        <v>0.07275726949901239</v>
      </c>
      <c r="FU26" s="1">
        <f t="shared" si="235"/>
        <v>0.07275726949901239</v>
      </c>
      <c r="FV26" s="1">
        <f t="shared" si="236"/>
        <v>0.09775499957436785</v>
      </c>
      <c r="FW26" s="1">
        <f t="shared" si="237"/>
        <v>0.335421341043007</v>
      </c>
      <c r="FX26" s="1">
        <f t="shared" si="114"/>
        <v>0.733390239805842</v>
      </c>
      <c r="FY26" s="1">
        <f t="shared" si="115"/>
        <v>0.5520122336585027</v>
      </c>
      <c r="FZ26" s="1">
        <f t="shared" si="116"/>
        <v>0.03492662896855403</v>
      </c>
      <c r="GA26" s="1">
        <f t="shared" si="117"/>
        <v>431.3010594063132</v>
      </c>
      <c r="GB26" s="1">
        <f t="shared" si="118"/>
        <v>11.69099892218087</v>
      </c>
      <c r="GC26" s="1">
        <f t="shared" si="119"/>
        <v>2.19093316840909</v>
      </c>
      <c r="GD26" s="1">
        <f t="shared" si="238"/>
        <v>9.010212655082381E-06</v>
      </c>
      <c r="GE26" s="1">
        <f t="shared" si="239"/>
        <v>1857.6662657013433</v>
      </c>
      <c r="GF26" s="1">
        <f t="shared" si="122"/>
        <v>0.39690360612726533</v>
      </c>
      <c r="GG26" s="2">
        <f t="shared" si="123"/>
        <v>25.6020453852882</v>
      </c>
      <c r="GH26" s="4">
        <f t="shared" si="240"/>
        <v>12.75528522376907</v>
      </c>
      <c r="GI26" s="4">
        <f t="shared" si="241"/>
        <v>16.542382894376594</v>
      </c>
      <c r="GJ26" s="4">
        <f t="shared" si="126"/>
        <v>3.2800000000000002</v>
      </c>
      <c r="GK26" s="4">
        <f t="shared" si="127"/>
        <v>4.289394179999995</v>
      </c>
      <c r="GL26" s="4">
        <f t="shared" si="242"/>
        <v>12.75528522376907</v>
      </c>
      <c r="GM26" s="1">
        <f t="shared" si="243"/>
        <v>431.3010594063132</v>
      </c>
      <c r="GN26" s="1">
        <f t="shared" si="243"/>
        <v>11.69099892218087</v>
      </c>
      <c r="GO26" s="4">
        <f t="shared" si="244"/>
        <v>13.059491719534236</v>
      </c>
      <c r="GP26" s="4"/>
      <c r="GQ26" s="7">
        <f t="shared" si="131"/>
        <v>0.17539479590430407</v>
      </c>
      <c r="GR26" s="7">
        <f t="shared" si="245"/>
        <v>1.068811580848849</v>
      </c>
      <c r="GS26" s="7">
        <f t="shared" si="246"/>
        <v>0.004240278809865911</v>
      </c>
      <c r="GT26" s="7">
        <f t="shared" si="134"/>
        <v>0.03068635015868812</v>
      </c>
      <c r="GU26" s="7">
        <f t="shared" si="135"/>
        <v>0</v>
      </c>
      <c r="GV26" s="7">
        <f t="shared" si="136"/>
        <v>0.03068635015868812</v>
      </c>
      <c r="GW26" s="7">
        <f t="shared" si="247"/>
        <v>0</v>
      </c>
      <c r="GX26" s="7">
        <f t="shared" si="138"/>
        <v>0.11520326645185139</v>
      </c>
      <c r="GY26" s="7">
        <f t="shared" si="139"/>
        <v>0.151766260630672</v>
      </c>
      <c r="GZ26" s="7">
        <f t="shared" si="248"/>
        <v>0.14096921473912513</v>
      </c>
      <c r="HA26" s="7">
        <f t="shared" si="141"/>
        <v>0.34382361250760035</v>
      </c>
      <c r="HB26" s="7">
        <f t="shared" si="142"/>
        <v>0.05642236052023036</v>
      </c>
      <c r="HC26" s="7">
        <f t="shared" si="249"/>
        <v>0.35483223319822954</v>
      </c>
      <c r="HD26" s="7">
        <f t="shared" si="250"/>
        <v>0.0582289041747137</v>
      </c>
      <c r="HE26" s="7">
        <f t="shared" si="251"/>
        <v>0.03492662896855403</v>
      </c>
      <c r="HF26" s="7"/>
      <c r="HG26" s="16">
        <f t="shared" si="252"/>
        <v>-8.343436310623323E-07</v>
      </c>
      <c r="HH26" s="16">
        <f t="shared" si="253"/>
        <v>1.2467755241875042E-12</v>
      </c>
      <c r="HI26" s="16">
        <f t="shared" si="254"/>
        <v>2.5903498253452446E-05</v>
      </c>
      <c r="HJ26" s="16">
        <f t="shared" si="255"/>
        <v>7.308755826857931E-09</v>
      </c>
      <c r="HK26" s="7">
        <f t="shared" si="256"/>
        <v>2.19093316840909</v>
      </c>
      <c r="HL26" s="7">
        <f t="shared" si="151"/>
        <v>449.9037187757192</v>
      </c>
      <c r="HM26" s="7">
        <f t="shared" si="152"/>
        <v>8.178452845747712</v>
      </c>
      <c r="HN26" s="7">
        <f t="shared" si="153"/>
        <v>449.9032575619584</v>
      </c>
      <c r="HO26" s="7">
        <f t="shared" si="154"/>
        <v>9.460158270022431</v>
      </c>
      <c r="HP26" s="7">
        <f t="shared" si="155"/>
        <v>8.178452845747712</v>
      </c>
      <c r="HQ26" s="2">
        <f t="shared" si="257"/>
        <v>0.3433137979004971</v>
      </c>
      <c r="HR26" s="17">
        <f t="shared" si="157"/>
        <v>1235</v>
      </c>
      <c r="HS26" s="17"/>
      <c r="HT26" s="7">
        <f t="shared" si="258"/>
        <v>2.0681128496313503</v>
      </c>
      <c r="HU26" s="17">
        <f t="shared" si="159"/>
        <v>1857.6662657013433</v>
      </c>
      <c r="HV26" s="16">
        <f t="shared" si="259"/>
        <v>1.2661383126556823E-05</v>
      </c>
      <c r="HW26" s="1">
        <f t="shared" si="161"/>
        <v>0.5616022213782129</v>
      </c>
      <c r="HX26" s="1">
        <f t="shared" si="260"/>
        <v>16885.441157034507</v>
      </c>
      <c r="HY26" s="16">
        <f t="shared" si="163"/>
        <v>443.98369800233075</v>
      </c>
      <c r="HZ26" s="1">
        <f t="shared" si="164"/>
        <v>-0.10578571552831917</v>
      </c>
      <c r="IA26" s="1">
        <f t="shared" si="165"/>
        <v>12.146815428030765</v>
      </c>
      <c r="IB26" s="4">
        <f t="shared" si="261"/>
        <v>16.885441157034506</v>
      </c>
      <c r="IC26" s="17">
        <f t="shared" si="262"/>
        <v>12755.28522376907</v>
      </c>
      <c r="ID26" s="16">
        <f t="shared" si="168"/>
        <v>445.4041181766587</v>
      </c>
      <c r="IE26" s="7">
        <f t="shared" si="169"/>
        <v>-0.07999920234611563</v>
      </c>
      <c r="IF26" s="7">
        <f t="shared" si="170"/>
        <v>12.172601941212967</v>
      </c>
      <c r="IG26" s="4">
        <f t="shared" si="171"/>
        <v>12.75528522376907</v>
      </c>
      <c r="IH26" s="17">
        <f t="shared" si="263"/>
        <v>16542.382894376595</v>
      </c>
      <c r="II26" s="4">
        <f t="shared" si="173"/>
        <v>444.1009820616091</v>
      </c>
      <c r="IJ26" s="7">
        <f t="shared" si="174"/>
        <v>-0.10364601441894204</v>
      </c>
      <c r="IK26" s="7">
        <f t="shared" si="175"/>
        <v>12.148955129140141</v>
      </c>
      <c r="IL26" s="4">
        <f t="shared" si="176"/>
        <v>16.542382894376594</v>
      </c>
      <c r="IN26" s="1">
        <f t="shared" si="177"/>
        <v>10.848918372801744</v>
      </c>
      <c r="IO26" s="1">
        <f t="shared" si="178"/>
        <v>9.559008635338898</v>
      </c>
    </row>
    <row r="27" spans="1:249" ht="12.75">
      <c r="A27" s="1" t="s">
        <v>200</v>
      </c>
      <c r="B27" s="85" t="s">
        <v>205</v>
      </c>
      <c r="C27" s="3">
        <v>1.1</v>
      </c>
      <c r="D27" s="3">
        <v>1255</v>
      </c>
      <c r="F27" s="1">
        <v>5203</v>
      </c>
      <c r="G27" s="33">
        <v>46.9</v>
      </c>
      <c r="H27" s="33">
        <v>2.56</v>
      </c>
      <c r="I27" s="33">
        <v>17.7</v>
      </c>
      <c r="J27" s="33">
        <v>11.5</v>
      </c>
      <c r="K27" s="33">
        <v>0.28</v>
      </c>
      <c r="L27" s="33">
        <v>6.39</v>
      </c>
      <c r="M27" s="33">
        <v>7.9</v>
      </c>
      <c r="N27" s="33">
        <v>5.05</v>
      </c>
      <c r="O27" s="33">
        <v>0.4</v>
      </c>
      <c r="P27" s="33">
        <v>0</v>
      </c>
      <c r="Q27" s="33">
        <v>0.4</v>
      </c>
      <c r="R27" s="33">
        <v>0</v>
      </c>
      <c r="S27" s="4">
        <f t="shared" si="2"/>
        <v>99.08000000000001</v>
      </c>
      <c r="U27" s="33">
        <v>50.8</v>
      </c>
      <c r="V27" s="33">
        <v>0.98</v>
      </c>
      <c r="W27" s="33">
        <v>6.97</v>
      </c>
      <c r="X27" s="33">
        <v>7.58</v>
      </c>
      <c r="Y27" s="33">
        <v>0.19</v>
      </c>
      <c r="Z27" s="33">
        <v>18.3</v>
      </c>
      <c r="AA27" s="33">
        <v>14.2</v>
      </c>
      <c r="AB27" s="33">
        <v>0.59</v>
      </c>
      <c r="AC27" s="33">
        <v>0</v>
      </c>
      <c r="AD27" s="33">
        <v>0.15</v>
      </c>
      <c r="AF27" s="53">
        <f t="shared" si="179"/>
        <v>1499.6353974967876</v>
      </c>
      <c r="AG27" s="53">
        <f t="shared" si="194"/>
        <v>10.804454346884253</v>
      </c>
      <c r="AI27" s="51">
        <f t="shared" si="3"/>
        <v>1499.6353974967876</v>
      </c>
      <c r="AJ27" s="51">
        <f t="shared" si="196"/>
        <v>1226.4853974967878</v>
      </c>
      <c r="AK27" s="51">
        <f t="shared" si="180"/>
        <v>1503.8661317881986</v>
      </c>
      <c r="AL27" s="51">
        <f t="shared" si="197"/>
        <v>1230.7161317881987</v>
      </c>
      <c r="AM27" s="51">
        <f t="shared" si="6"/>
        <v>10.804454346884253</v>
      </c>
      <c r="AN27" s="51"/>
      <c r="AO27" s="51">
        <f t="shared" si="181"/>
        <v>1474.293183648925</v>
      </c>
      <c r="AP27" s="51">
        <f t="shared" si="182"/>
        <v>12.110826390343213</v>
      </c>
      <c r="AQ27" s="51">
        <f t="shared" si="183"/>
        <v>1201.143183648925</v>
      </c>
      <c r="AR27" s="70"/>
      <c r="AS27" s="90">
        <f t="shared" si="7"/>
        <v>0.38782245719374697</v>
      </c>
      <c r="AT27" s="90">
        <f t="shared" si="8"/>
        <v>0.35570550114148936</v>
      </c>
      <c r="AU27" s="90">
        <f t="shared" si="9"/>
        <v>0.04341756436986553</v>
      </c>
      <c r="AV27" s="90">
        <f t="shared" si="10"/>
        <v>0.023825709331531296</v>
      </c>
      <c r="AW27" s="90">
        <f t="shared" si="11"/>
        <v>0.03784060102373354</v>
      </c>
      <c r="AX27" s="90">
        <f t="shared" si="184"/>
        <v>0</v>
      </c>
      <c r="AY27" s="51">
        <f t="shared" si="185"/>
        <v>0.8486118330603667</v>
      </c>
      <c r="AZ27" s="70"/>
      <c r="BA27" s="90">
        <f t="shared" si="12"/>
        <v>0.42218180998194377</v>
      </c>
      <c r="BB27" s="90">
        <f t="shared" si="0"/>
        <v>0.39965765536951975</v>
      </c>
      <c r="BC27" s="90">
        <f t="shared" si="1"/>
        <v>0.10258425765579665</v>
      </c>
      <c r="BD27" s="90">
        <f t="shared" si="13"/>
        <v>0.041561726162422485</v>
      </c>
      <c r="BE27" s="90">
        <f t="shared" si="14"/>
        <v>0.02586418732384857</v>
      </c>
      <c r="BF27" s="90">
        <f t="shared" si="15"/>
        <v>0.002154310248674137</v>
      </c>
      <c r="BG27" s="90">
        <f t="shared" si="186"/>
        <v>0.9940039467422055</v>
      </c>
      <c r="BH27" s="90">
        <f t="shared" si="187"/>
        <v>0.23015538132573055</v>
      </c>
      <c r="BI27" s="70"/>
      <c r="BJ27" s="51">
        <f t="shared" si="16"/>
        <v>9.78770750516373</v>
      </c>
      <c r="BK27" s="51">
        <f t="shared" si="188"/>
        <v>11.30444765316314</v>
      </c>
      <c r="BL27" s="51">
        <f t="shared" si="17"/>
        <v>1220.32729567991</v>
      </c>
      <c r="BM27" s="51">
        <f t="shared" si="18"/>
        <v>1226.4951800409235</v>
      </c>
      <c r="BN27" s="51">
        <f t="shared" si="189"/>
        <v>1226.4951800409235</v>
      </c>
      <c r="BO27" s="51"/>
      <c r="BP27" s="51">
        <f t="shared" si="19"/>
        <v>10.987518204870412</v>
      </c>
      <c r="BQ27" s="51">
        <f t="shared" si="20"/>
        <v>9.57378125464964</v>
      </c>
      <c r="BR27" s="51">
        <f t="shared" si="21"/>
        <v>10.302056959954133</v>
      </c>
      <c r="BS27" s="51">
        <f t="shared" si="22"/>
        <v>1253.9798509044322</v>
      </c>
      <c r="BT27" s="71">
        <f t="shared" si="190"/>
        <v>0.28556699353877213</v>
      </c>
      <c r="BU27" s="70"/>
      <c r="BV27" s="51">
        <f t="shared" si="23"/>
        <v>10.065890159424157</v>
      </c>
      <c r="BW27" s="51">
        <f t="shared" si="24"/>
        <v>11.07197870488414</v>
      </c>
      <c r="BX27" s="51">
        <f t="shared" si="25"/>
        <v>1249.133460989723</v>
      </c>
      <c r="BY27" s="2"/>
      <c r="BZ27" s="1">
        <f t="shared" si="26"/>
        <v>0.7805699658646269</v>
      </c>
      <c r="CA27" s="1">
        <f t="shared" si="27"/>
        <v>0.03204855355864134</v>
      </c>
      <c r="CB27" s="1">
        <f t="shared" si="28"/>
        <v>0.34719157324859506</v>
      </c>
      <c r="CC27" s="1">
        <f t="shared" si="29"/>
        <v>0.1600636914306075</v>
      </c>
      <c r="CD27" s="1">
        <f t="shared" si="30"/>
        <v>0.003947136563876652</v>
      </c>
      <c r="CE27" s="1">
        <f t="shared" si="31"/>
        <v>0.15854348408610472</v>
      </c>
      <c r="CF27" s="1">
        <f t="shared" si="32"/>
        <v>0.1408767168235332</v>
      </c>
      <c r="CG27" s="1">
        <f t="shared" si="33"/>
        <v>0.16295868432644012</v>
      </c>
      <c r="CH27" s="1">
        <f t="shared" si="34"/>
        <v>0.008492929636077966</v>
      </c>
      <c r="CI27" s="1">
        <f t="shared" si="35"/>
        <v>0</v>
      </c>
      <c r="CJ27" s="1">
        <f t="shared" si="36"/>
        <v>0.005636303430395175</v>
      </c>
      <c r="CK27" s="1">
        <f t="shared" si="198"/>
        <v>1.8003290389688986</v>
      </c>
      <c r="CM27" s="1">
        <f t="shared" si="38"/>
        <v>0.43357072455581913</v>
      </c>
      <c r="CN27" s="1">
        <f t="shared" si="39"/>
        <v>0.017801497873409015</v>
      </c>
      <c r="CO27" s="1">
        <f t="shared" si="40"/>
        <v>0.1928489546818852</v>
      </c>
      <c r="CP27" s="1">
        <f t="shared" si="41"/>
        <v>0.08890802068175309</v>
      </c>
      <c r="CQ27" s="1">
        <f t="shared" si="42"/>
        <v>0.0021924528674698786</v>
      </c>
      <c r="CR27" s="1">
        <f t="shared" si="43"/>
        <v>0.08806361540271951</v>
      </c>
      <c r="CS27" s="1">
        <f t="shared" si="44"/>
        <v>0.07825053852612267</v>
      </c>
      <c r="CT27" s="1">
        <f t="shared" si="45"/>
        <v>0.09051605612036973</v>
      </c>
      <c r="CU27" s="1">
        <f t="shared" si="46"/>
        <v>0.004717431898416812</v>
      </c>
      <c r="CV27" s="1">
        <f t="shared" si="47"/>
        <v>0</v>
      </c>
      <c r="CW27" s="1">
        <f t="shared" si="48"/>
        <v>0.003130707392034987</v>
      </c>
      <c r="CX27" s="1">
        <f t="shared" si="199"/>
        <v>1</v>
      </c>
      <c r="CZ27" s="1">
        <f t="shared" si="50"/>
        <v>0.845478768996227</v>
      </c>
      <c r="DA27" s="1">
        <f t="shared" si="51"/>
        <v>0.012268586909167389</v>
      </c>
      <c r="DB27" s="1">
        <f t="shared" si="52"/>
        <v>0.06835947077804258</v>
      </c>
      <c r="DC27" s="1">
        <f t="shared" si="53"/>
        <v>0.10550285052556564</v>
      </c>
      <c r="DD27" s="1">
        <f t="shared" si="54"/>
        <v>0.0026784140969162997</v>
      </c>
      <c r="DE27" s="1">
        <f t="shared" si="55"/>
        <v>0.45404471968321075</v>
      </c>
      <c r="DF27" s="1">
        <f t="shared" si="56"/>
        <v>0.2532214403663508</v>
      </c>
      <c r="DG27" s="1">
        <f t="shared" si="57"/>
        <v>0.009519368688376205</v>
      </c>
      <c r="DH27" s="1">
        <f t="shared" si="58"/>
        <v>0</v>
      </c>
      <c r="DI27" s="1">
        <f t="shared" si="59"/>
        <v>0.0009868537916896383</v>
      </c>
      <c r="DJ27" s="1">
        <f t="shared" si="200"/>
        <v>1.7520604738355463</v>
      </c>
      <c r="DL27" s="1">
        <f t="shared" si="201"/>
        <v>1.690957537992454</v>
      </c>
      <c r="DM27" s="1">
        <f t="shared" si="201"/>
        <v>0.024537173818334777</v>
      </c>
      <c r="DN27" s="1">
        <f t="shared" si="202"/>
        <v>0.20507841233412774</v>
      </c>
      <c r="DO27" s="1">
        <f t="shared" si="203"/>
        <v>0.10550285052556564</v>
      </c>
      <c r="DP27" s="1">
        <f t="shared" si="203"/>
        <v>0.0026784140969162997</v>
      </c>
      <c r="DQ27" s="1">
        <f t="shared" si="203"/>
        <v>0.45404471968321075</v>
      </c>
      <c r="DR27" s="1">
        <f t="shared" si="204"/>
        <v>0.2532214403663508</v>
      </c>
      <c r="DS27" s="1">
        <f t="shared" si="204"/>
        <v>0.009519368688376205</v>
      </c>
      <c r="DT27" s="1">
        <f t="shared" si="204"/>
        <v>0</v>
      </c>
      <c r="DU27" s="1">
        <f t="shared" si="205"/>
        <v>0.0029605613750689147</v>
      </c>
      <c r="DV27" s="1">
        <f t="shared" si="206"/>
        <v>2.7485004788804055</v>
      </c>
      <c r="DW27" s="1">
        <f t="shared" si="207"/>
        <v>2.1830085336001415</v>
      </c>
      <c r="DY27" s="1">
        <f t="shared" si="67"/>
        <v>1.8456873676965062</v>
      </c>
      <c r="DZ27" s="1">
        <f t="shared" si="68"/>
        <v>0.026782429917927394</v>
      </c>
      <c r="EA27" s="1">
        <f t="shared" si="208"/>
        <v>0.1543126323034938</v>
      </c>
      <c r="EB27" s="1">
        <f t="shared" si="209"/>
        <v>0.14414598381821914</v>
      </c>
      <c r="EC27" s="1">
        <f t="shared" si="71"/>
        <v>0.2984586161217129</v>
      </c>
      <c r="ED27" s="1">
        <f t="shared" si="72"/>
        <v>0.23031362301644998</v>
      </c>
      <c r="EE27" s="1">
        <f t="shared" si="73"/>
        <v>0.005847000830083199</v>
      </c>
      <c r="EF27" s="1">
        <f t="shared" si="74"/>
        <v>0.9911834977045332</v>
      </c>
      <c r="EG27" s="1">
        <f t="shared" si="75"/>
        <v>0.5527845652102631</v>
      </c>
      <c r="EH27" s="1">
        <f t="shared" si="76"/>
        <v>0.041561726162422485</v>
      </c>
      <c r="EI27" s="1">
        <f t="shared" si="77"/>
        <v>0</v>
      </c>
      <c r="EJ27" s="1">
        <f t="shared" si="78"/>
        <v>0.004308620497348274</v>
      </c>
      <c r="EK27" s="1">
        <f t="shared" si="210"/>
        <v>3.9969274471572462</v>
      </c>
      <c r="EL27" s="1">
        <f t="shared" si="211"/>
        <v>0</v>
      </c>
      <c r="EM27" s="1">
        <f t="shared" si="212"/>
        <v>-0.009224744406923335</v>
      </c>
      <c r="EN27" s="1">
        <f t="shared" si="213"/>
        <v>0.041561726162422485</v>
      </c>
      <c r="EO27" s="1">
        <f t="shared" si="214"/>
        <v>0.10258425765579665</v>
      </c>
      <c r="EP27" s="1">
        <f t="shared" si="215"/>
        <v>0.02586418732384857</v>
      </c>
      <c r="EQ27" s="1">
        <f t="shared" si="216"/>
        <v>0.002154310248674137</v>
      </c>
      <c r="ER27" s="2">
        <f t="shared" si="217"/>
        <v>0.42218180998194377</v>
      </c>
      <c r="ES27" s="1">
        <f t="shared" si="218"/>
        <v>0.39965765536951975</v>
      </c>
      <c r="ET27" s="1">
        <f t="shared" si="219"/>
        <v>0.9940039467422053</v>
      </c>
      <c r="EU27" s="1">
        <f t="shared" si="220"/>
        <v>0.4221818099819437</v>
      </c>
      <c r="EV27" s="1">
        <f t="shared" si="221"/>
        <v>2.5389011602501412</v>
      </c>
      <c r="EW27" s="1">
        <f t="shared" si="222"/>
        <v>-2.5497856827956364</v>
      </c>
      <c r="EX27" s="1">
        <f t="shared" si="223"/>
        <v>-2.5497856827956364</v>
      </c>
      <c r="EY27" s="1">
        <f t="shared" si="224"/>
        <v>0.4976142920478214</v>
      </c>
      <c r="EZ27" s="84">
        <f t="shared" si="191"/>
        <v>1499.6353974967876</v>
      </c>
      <c r="FA27" s="84">
        <f t="shared" si="192"/>
        <v>10.804454346884253</v>
      </c>
      <c r="FB27" s="1">
        <f t="shared" si="193"/>
        <v>0.14996353974967877</v>
      </c>
      <c r="FC27" s="2">
        <f t="shared" si="94"/>
        <v>0.016608159550578604</v>
      </c>
      <c r="FD27" s="2">
        <f t="shared" si="95"/>
        <v>5.609985280383315</v>
      </c>
      <c r="FE27" s="1">
        <f t="shared" si="96"/>
        <v>11.604933103780748</v>
      </c>
      <c r="FF27" s="1">
        <f t="shared" si="225"/>
        <v>0.33581454825726176</v>
      </c>
      <c r="FG27" s="2"/>
      <c r="FH27" s="2">
        <f t="shared" si="98"/>
        <v>15.52439254663448</v>
      </c>
      <c r="FI27" s="2">
        <f t="shared" si="99"/>
        <v>0.2917407911898398</v>
      </c>
      <c r="FJ27" s="2">
        <f t="shared" si="226"/>
        <v>0.23015538132573055</v>
      </c>
      <c r="FK27" s="1">
        <f t="shared" si="227"/>
        <v>0.6001932922027687</v>
      </c>
      <c r="FL27" s="1">
        <f t="shared" si="228"/>
        <v>0.17523703423349482</v>
      </c>
      <c r="FM27" s="1">
        <f t="shared" si="229"/>
        <v>0.12047202334648684</v>
      </c>
      <c r="FN27" s="1">
        <f t="shared" si="230"/>
        <v>0.8290715862638536</v>
      </c>
      <c r="FO27" s="1">
        <f t="shared" si="105"/>
        <v>0.3924255344571297</v>
      </c>
      <c r="FP27" s="1">
        <f t="shared" si="231"/>
        <v>0.23031362301644998</v>
      </c>
      <c r="FQ27" s="1">
        <f t="shared" si="232"/>
        <v>0.8795279766535131</v>
      </c>
      <c r="FR27" s="1">
        <f t="shared" si="108"/>
        <v>0.7013646892539642</v>
      </c>
      <c r="FS27" s="1">
        <f t="shared" si="233"/>
        <v>-0.0920809313790595</v>
      </c>
      <c r="FT27" s="1">
        <f t="shared" si="234"/>
        <v>0.08878259196191347</v>
      </c>
      <c r="FU27" s="1">
        <f t="shared" si="235"/>
        <v>0.08878259196191347</v>
      </c>
      <c r="FV27" s="1">
        <f t="shared" si="236"/>
        <v>0.14153103105453652</v>
      </c>
      <c r="FW27" s="1">
        <f t="shared" si="237"/>
        <v>0.3110241158353178</v>
      </c>
      <c r="FX27" s="1">
        <f t="shared" si="114"/>
        <v>0.6801593818692153</v>
      </c>
      <c r="FY27" s="1">
        <f t="shared" si="115"/>
        <v>0.5527845652102631</v>
      </c>
      <c r="FZ27" s="1">
        <f t="shared" si="116"/>
        <v>0.041561726162422485</v>
      </c>
      <c r="GA27" s="1">
        <f t="shared" si="117"/>
        <v>432.300845592257</v>
      </c>
      <c r="GB27" s="1">
        <f t="shared" si="118"/>
        <v>11.68462139839243</v>
      </c>
      <c r="GC27" s="1">
        <f t="shared" si="119"/>
        <v>2.1958743584659155</v>
      </c>
      <c r="GD27" s="1">
        <f t="shared" si="238"/>
        <v>9.030533299191076E-06</v>
      </c>
      <c r="GE27" s="1">
        <f t="shared" si="239"/>
        <v>1862.8209165372389</v>
      </c>
      <c r="GF27" s="1">
        <f t="shared" si="122"/>
        <v>0.39595997953699874</v>
      </c>
      <c r="GG27" s="2">
        <f t="shared" si="123"/>
        <v>23.276681959954132</v>
      </c>
      <c r="GH27" s="4">
        <f t="shared" si="240"/>
        <v>11.549073709333324</v>
      </c>
      <c r="GI27" s="4">
        <f t="shared" si="241"/>
        <v>15.346787158312232</v>
      </c>
      <c r="GJ27" s="4">
        <f t="shared" si="126"/>
        <v>5.45</v>
      </c>
      <c r="GK27" s="4">
        <f t="shared" si="127"/>
        <v>3.570366539999995</v>
      </c>
      <c r="GL27" s="4">
        <f t="shared" si="242"/>
        <v>15.346787158312232</v>
      </c>
      <c r="GM27" s="1">
        <f t="shared" si="243"/>
        <v>432.300845592257</v>
      </c>
      <c r="GN27" s="1">
        <f t="shared" si="243"/>
        <v>11.68462139839243</v>
      </c>
      <c r="GO27" s="4">
        <f t="shared" si="244"/>
        <v>11.839223137668029</v>
      </c>
      <c r="GP27" s="4"/>
      <c r="GQ27" s="7">
        <f t="shared" si="131"/>
        <v>0.23616062384653316</v>
      </c>
      <c r="GR27" s="7">
        <f t="shared" si="245"/>
        <v>0.9911834977045331</v>
      </c>
      <c r="GS27" s="7">
        <f t="shared" si="246"/>
        <v>0</v>
      </c>
      <c r="GT27" s="7">
        <f t="shared" si="134"/>
        <v>0.041561726162422485</v>
      </c>
      <c r="GU27" s="7">
        <f t="shared" si="135"/>
        <v>0</v>
      </c>
      <c r="GV27" s="7">
        <f t="shared" si="136"/>
        <v>0.041561726162422485</v>
      </c>
      <c r="GW27" s="7">
        <f t="shared" si="247"/>
        <v>0</v>
      </c>
      <c r="GX27" s="7">
        <f t="shared" si="138"/>
        <v>0.10258425765579665</v>
      </c>
      <c r="GY27" s="7">
        <f t="shared" si="139"/>
        <v>0.1604577379889997</v>
      </c>
      <c r="GZ27" s="7">
        <f t="shared" si="248"/>
        <v>0.19241598154891004</v>
      </c>
      <c r="HA27" s="7">
        <f t="shared" si="141"/>
        <v>0.3168368756735144</v>
      </c>
      <c r="HB27" s="7">
        <f t="shared" si="142"/>
        <v>0.07548995154774904</v>
      </c>
      <c r="HC27" s="7">
        <f t="shared" si="249"/>
        <v>0.32759945211283414</v>
      </c>
      <c r="HD27" s="7">
        <f t="shared" si="250"/>
        <v>0.07805425651448027</v>
      </c>
      <c r="HE27" s="7">
        <f t="shared" si="251"/>
        <v>0.041561726162422485</v>
      </c>
      <c r="HF27" s="7"/>
      <c r="HG27" s="16">
        <f t="shared" si="252"/>
        <v>-8.398637868244431E-07</v>
      </c>
      <c r="HH27" s="16">
        <f t="shared" si="253"/>
        <v>1.2543818700183621E-12</v>
      </c>
      <c r="HI27" s="16">
        <f t="shared" si="254"/>
        <v>2.598660474623874E-05</v>
      </c>
      <c r="HJ27" s="16">
        <f t="shared" si="255"/>
        <v>7.252999747756586E-09</v>
      </c>
      <c r="HK27" s="7">
        <f t="shared" si="256"/>
        <v>2.1958743584659155</v>
      </c>
      <c r="HL27" s="7">
        <f t="shared" si="151"/>
        <v>450.85970001303366</v>
      </c>
      <c r="HM27" s="7">
        <f t="shared" si="152"/>
        <v>7.350863378044986</v>
      </c>
      <c r="HN27" s="7">
        <f t="shared" si="153"/>
        <v>450.85921798073787</v>
      </c>
      <c r="HO27" s="7">
        <f t="shared" si="154"/>
        <v>8.678537810611962</v>
      </c>
      <c r="HP27" s="7">
        <f t="shared" si="155"/>
        <v>8.678537810611962</v>
      </c>
      <c r="HQ27" s="2">
        <f t="shared" si="257"/>
        <v>0.33581454825726176</v>
      </c>
      <c r="HR27" s="17">
        <f t="shared" si="157"/>
        <v>1230</v>
      </c>
      <c r="HS27" s="17"/>
      <c r="HT27" s="7">
        <f t="shared" si="258"/>
        <v>2.06775564452396</v>
      </c>
      <c r="HU27" s="17">
        <f t="shared" si="159"/>
        <v>1862.8209165372389</v>
      </c>
      <c r="HV27" s="16">
        <f t="shared" si="259"/>
        <v>1.2634288934411896E-05</v>
      </c>
      <c r="HW27" s="1">
        <f t="shared" si="161"/>
        <v>0.5577443655615433</v>
      </c>
      <c r="HX27" s="1">
        <f t="shared" si="260"/>
        <v>15046.824207723532</v>
      </c>
      <c r="HY27" s="16">
        <f t="shared" si="163"/>
        <v>445.52203426164766</v>
      </c>
      <c r="HZ27" s="1">
        <f t="shared" si="164"/>
        <v>-0.09400217993183894</v>
      </c>
      <c r="IA27" s="1">
        <f t="shared" si="165"/>
        <v>12.148363584022134</v>
      </c>
      <c r="IB27" s="4">
        <f t="shared" si="261"/>
        <v>15.046824207723532</v>
      </c>
      <c r="IC27" s="17">
        <f t="shared" si="262"/>
        <v>11549.073709333325</v>
      </c>
      <c r="ID27" s="16">
        <f t="shared" si="168"/>
        <v>446.7415307740631</v>
      </c>
      <c r="IE27" s="7">
        <f t="shared" si="169"/>
        <v>-0.07221817518111283</v>
      </c>
      <c r="IF27" s="7">
        <f t="shared" si="170"/>
        <v>12.17014758877286</v>
      </c>
      <c r="IG27" s="4">
        <f t="shared" si="171"/>
        <v>11.549073709333324</v>
      </c>
      <c r="IH27" s="17">
        <f t="shared" si="263"/>
        <v>15346.787158312232</v>
      </c>
      <c r="II27" s="4">
        <f t="shared" si="173"/>
        <v>445.41806942133843</v>
      </c>
      <c r="IJ27" s="7">
        <f t="shared" si="174"/>
        <v>-0.09586845394650192</v>
      </c>
      <c r="IK27" s="7">
        <f t="shared" si="175"/>
        <v>12.146497310007472</v>
      </c>
      <c r="IL27" s="4">
        <f t="shared" si="176"/>
        <v>15.346787158312232</v>
      </c>
      <c r="IN27" s="1">
        <f t="shared" si="177"/>
        <v>11.660571835979002</v>
      </c>
      <c r="IO27" s="1">
        <f t="shared" si="178"/>
        <v>13.12539936740599</v>
      </c>
    </row>
    <row r="28" spans="1:249" ht="12.75">
      <c r="A28" s="1" t="s">
        <v>200</v>
      </c>
      <c r="B28" s="85" t="s">
        <v>206</v>
      </c>
      <c r="C28" s="3">
        <v>1.3</v>
      </c>
      <c r="D28" s="3">
        <v>1310</v>
      </c>
      <c r="F28" s="1">
        <v>5204</v>
      </c>
      <c r="G28" s="33">
        <v>48.1</v>
      </c>
      <c r="H28" s="33">
        <v>1.3</v>
      </c>
      <c r="I28" s="33">
        <v>18.1</v>
      </c>
      <c r="J28" s="33">
        <v>9.12</v>
      </c>
      <c r="K28" s="33">
        <v>0.13</v>
      </c>
      <c r="L28" s="33">
        <v>9.38</v>
      </c>
      <c r="M28" s="33">
        <v>10.3</v>
      </c>
      <c r="N28" s="33">
        <v>3.33</v>
      </c>
      <c r="O28" s="33">
        <v>0.14</v>
      </c>
      <c r="P28" s="33">
        <v>0.04</v>
      </c>
      <c r="Q28" s="33">
        <v>0.12</v>
      </c>
      <c r="R28" s="33">
        <v>0</v>
      </c>
      <c r="S28" s="4">
        <f t="shared" si="2"/>
        <v>100.06</v>
      </c>
      <c r="U28" s="33">
        <v>51.9</v>
      </c>
      <c r="V28" s="33">
        <v>0.37</v>
      </c>
      <c r="W28" s="33">
        <v>7.2</v>
      </c>
      <c r="X28" s="33">
        <v>5.85</v>
      </c>
      <c r="Y28" s="33">
        <v>0.16</v>
      </c>
      <c r="Z28" s="33">
        <v>21.5</v>
      </c>
      <c r="AA28" s="33">
        <v>12</v>
      </c>
      <c r="AB28" s="33">
        <v>0.47</v>
      </c>
      <c r="AC28" s="33">
        <v>0</v>
      </c>
      <c r="AD28" s="33">
        <v>0.14</v>
      </c>
      <c r="AF28" s="53">
        <f t="shared" si="179"/>
        <v>1571.7983876296882</v>
      </c>
      <c r="AG28" s="53">
        <f t="shared" si="194"/>
        <v>12.353608577395299</v>
      </c>
      <c r="AI28" s="51">
        <f t="shared" si="3"/>
        <v>1571.7983876296882</v>
      </c>
      <c r="AJ28" s="51">
        <f t="shared" si="196"/>
        <v>1298.6483876296884</v>
      </c>
      <c r="AK28" s="51">
        <f t="shared" si="180"/>
        <v>1568.3793532541206</v>
      </c>
      <c r="AL28" s="51">
        <f t="shared" si="197"/>
        <v>1295.2293532541207</v>
      </c>
      <c r="AM28" s="51">
        <f t="shared" si="6"/>
        <v>12.353608577395299</v>
      </c>
      <c r="AN28" s="51"/>
      <c r="AO28" s="51">
        <f t="shared" si="181"/>
        <v>1583.5513659867752</v>
      </c>
      <c r="AP28" s="51">
        <f t="shared" si="182"/>
        <v>12.60131892045304</v>
      </c>
      <c r="AQ28" s="51">
        <f t="shared" si="183"/>
        <v>1310.401365986775</v>
      </c>
      <c r="AR28" s="70"/>
      <c r="AS28" s="90">
        <f t="shared" si="7"/>
        <v>0.29284863651637677</v>
      </c>
      <c r="AT28" s="90">
        <f t="shared" si="8"/>
        <v>0.4553820808683673</v>
      </c>
      <c r="AU28" s="90">
        <f t="shared" si="9"/>
        <v>0.06724018337619855</v>
      </c>
      <c r="AV28" s="90">
        <f t="shared" si="10"/>
        <v>0.015326510288451252</v>
      </c>
      <c r="AW28" s="90">
        <f t="shared" si="11"/>
        <v>0.017081870184715676</v>
      </c>
      <c r="AX28" s="90">
        <f t="shared" si="184"/>
        <v>0.0013164711704446003</v>
      </c>
      <c r="AY28" s="51">
        <f t="shared" si="185"/>
        <v>0.849195752404554</v>
      </c>
      <c r="AZ28" s="70"/>
      <c r="BA28" s="90">
        <f t="shared" si="12"/>
        <v>0.32264392239202133</v>
      </c>
      <c r="BB28" s="90">
        <f t="shared" si="0"/>
        <v>0.4997895218675869</v>
      </c>
      <c r="BC28" s="90">
        <f t="shared" si="1"/>
        <v>0.12860479505512185</v>
      </c>
      <c r="BD28" s="90">
        <f t="shared" si="13"/>
        <v>0.032614405250380736</v>
      </c>
      <c r="BE28" s="90">
        <f t="shared" si="14"/>
        <v>0.006941179841718298</v>
      </c>
      <c r="BF28" s="90">
        <f t="shared" si="15"/>
        <v>0.0019806834122097472</v>
      </c>
      <c r="BG28" s="90">
        <f t="shared" si="186"/>
        <v>0.9925745078190388</v>
      </c>
      <c r="BH28" s="90">
        <f t="shared" si="187"/>
        <v>0.2798500611995104</v>
      </c>
      <c r="BI28" s="70"/>
      <c r="BJ28" s="51">
        <f t="shared" si="16"/>
        <v>11.91074774818193</v>
      </c>
      <c r="BK28" s="51">
        <f t="shared" si="188"/>
        <v>13.323155531655123</v>
      </c>
      <c r="BL28" s="51">
        <f t="shared" si="17"/>
        <v>1296.5324470947276</v>
      </c>
      <c r="BM28" s="51">
        <f t="shared" si="18"/>
        <v>1287.526366871271</v>
      </c>
      <c r="BN28" s="51">
        <f t="shared" si="189"/>
        <v>1287.526366871271</v>
      </c>
      <c r="BO28" s="51"/>
      <c r="BP28" s="51">
        <f t="shared" si="19"/>
        <v>13.14837960404202</v>
      </c>
      <c r="BQ28" s="51">
        <f t="shared" si="20"/>
        <v>12.191455485245221</v>
      </c>
      <c r="BR28" s="51">
        <f t="shared" si="21"/>
        <v>11.872945856121717</v>
      </c>
      <c r="BS28" s="51">
        <f t="shared" si="22"/>
        <v>1301.115455495547</v>
      </c>
      <c r="BT28" s="71">
        <f t="shared" si="190"/>
        <v>0.3009979835097995</v>
      </c>
      <c r="BU28" s="70"/>
      <c r="BV28" s="51">
        <f t="shared" si="23"/>
        <v>13.186486101093196</v>
      </c>
      <c r="BW28" s="51">
        <f t="shared" si="24"/>
        <v>14.883556360594193</v>
      </c>
      <c r="BX28" s="51">
        <f t="shared" si="25"/>
        <v>1355.1007993150215</v>
      </c>
      <c r="BY28" s="2"/>
      <c r="BZ28" s="1">
        <f t="shared" si="26"/>
        <v>0.8005419052897347</v>
      </c>
      <c r="CA28" s="1">
        <f t="shared" si="27"/>
        <v>0.016274656103997556</v>
      </c>
      <c r="CB28" s="1">
        <f t="shared" si="28"/>
        <v>0.3550377104971509</v>
      </c>
      <c r="CC28" s="1">
        <f t="shared" si="29"/>
        <v>0.1269374665954035</v>
      </c>
      <c r="CD28" s="1">
        <f t="shared" si="30"/>
        <v>0.0018325991189427314</v>
      </c>
      <c r="CE28" s="1">
        <f t="shared" si="31"/>
        <v>0.23272893282123044</v>
      </c>
      <c r="CF28" s="1">
        <f t="shared" si="32"/>
        <v>0.1836747067446066</v>
      </c>
      <c r="CG28" s="1">
        <f t="shared" si="33"/>
        <v>0.10745592451624665</v>
      </c>
      <c r="CH28" s="1">
        <f t="shared" si="34"/>
        <v>0.002972525372627288</v>
      </c>
      <c r="CI28" s="1">
        <f t="shared" si="35"/>
        <v>0.0005263220222344739</v>
      </c>
      <c r="CJ28" s="1">
        <f t="shared" si="36"/>
        <v>0.0016908910291185523</v>
      </c>
      <c r="CK28" s="1">
        <f t="shared" si="198"/>
        <v>1.8296736401112934</v>
      </c>
      <c r="CM28" s="1">
        <f t="shared" si="38"/>
        <v>0.4375326220697152</v>
      </c>
      <c r="CN28" s="1">
        <f t="shared" si="39"/>
        <v>0.008894840996347096</v>
      </c>
      <c r="CO28" s="1">
        <f t="shared" si="40"/>
        <v>0.19404428347973304</v>
      </c>
      <c r="CP28" s="1">
        <f t="shared" si="41"/>
        <v>0.06937710847038397</v>
      </c>
      <c r="CQ28" s="1">
        <f t="shared" si="42"/>
        <v>0.001001598907459398</v>
      </c>
      <c r="CR28" s="1">
        <f t="shared" si="43"/>
        <v>0.1271969643761574</v>
      </c>
      <c r="CS28" s="1">
        <f t="shared" si="44"/>
        <v>0.10038659502873651</v>
      </c>
      <c r="CT28" s="1">
        <f t="shared" si="45"/>
        <v>0.058729558190339586</v>
      </c>
      <c r="CU28" s="1">
        <f t="shared" si="46"/>
        <v>0.0016246205374891222</v>
      </c>
      <c r="CV28" s="1">
        <f t="shared" si="47"/>
        <v>0.0002876589631593858</v>
      </c>
      <c r="CW28" s="1">
        <f t="shared" si="48"/>
        <v>0.0009241489804792185</v>
      </c>
      <c r="CX28" s="1">
        <f t="shared" si="199"/>
        <v>0.9999999999999999</v>
      </c>
      <c r="CZ28" s="1">
        <f t="shared" si="50"/>
        <v>0.863786380135909</v>
      </c>
      <c r="DA28" s="1">
        <f t="shared" si="51"/>
        <v>0.004632017506522382</v>
      </c>
      <c r="DB28" s="1">
        <f t="shared" si="52"/>
        <v>0.07061523523700239</v>
      </c>
      <c r="DC28" s="1">
        <f t="shared" si="53"/>
        <v>0.08142370390165686</v>
      </c>
      <c r="DD28" s="1">
        <f t="shared" si="54"/>
        <v>0.0022555066079295153</v>
      </c>
      <c r="DE28" s="1">
        <f t="shared" si="55"/>
        <v>0.5334405176606029</v>
      </c>
      <c r="DF28" s="1">
        <f t="shared" si="56"/>
        <v>0.21398994960536688</v>
      </c>
      <c r="DG28" s="1">
        <f t="shared" si="57"/>
        <v>0.007583225904299688</v>
      </c>
      <c r="DH28" s="1">
        <f t="shared" si="58"/>
        <v>0</v>
      </c>
      <c r="DI28" s="1">
        <f t="shared" si="59"/>
        <v>0.0009210635389103293</v>
      </c>
      <c r="DJ28" s="1">
        <f t="shared" si="200"/>
        <v>1.7786476000982</v>
      </c>
      <c r="DL28" s="1">
        <f t="shared" si="201"/>
        <v>1.727572760271818</v>
      </c>
      <c r="DM28" s="1">
        <f t="shared" si="201"/>
        <v>0.009264035013044764</v>
      </c>
      <c r="DN28" s="1">
        <f t="shared" si="202"/>
        <v>0.21184570571100717</v>
      </c>
      <c r="DO28" s="1">
        <f t="shared" si="203"/>
        <v>0.08142370390165686</v>
      </c>
      <c r="DP28" s="1">
        <f t="shared" si="203"/>
        <v>0.0022555066079295153</v>
      </c>
      <c r="DQ28" s="1">
        <f t="shared" si="203"/>
        <v>0.5334405176606029</v>
      </c>
      <c r="DR28" s="1">
        <f t="shared" si="204"/>
        <v>0.21398994960536688</v>
      </c>
      <c r="DS28" s="1">
        <f t="shared" si="204"/>
        <v>0.007583225904299688</v>
      </c>
      <c r="DT28" s="1">
        <f t="shared" si="204"/>
        <v>0</v>
      </c>
      <c r="DU28" s="1">
        <f t="shared" si="205"/>
        <v>0.002763190616730988</v>
      </c>
      <c r="DV28" s="1">
        <f t="shared" si="206"/>
        <v>2.7901385952924573</v>
      </c>
      <c r="DW28" s="1">
        <f t="shared" si="207"/>
        <v>2.1504308101838543</v>
      </c>
      <c r="DY28" s="1">
        <f t="shared" si="67"/>
        <v>1.8575128452614416</v>
      </c>
      <c r="DZ28" s="1">
        <f t="shared" si="68"/>
        <v>0.009960833159336721</v>
      </c>
      <c r="EA28" s="1">
        <f t="shared" si="208"/>
        <v>0.14248715473855844</v>
      </c>
      <c r="EB28" s="1">
        <f t="shared" si="209"/>
        <v>0.16121920030550257</v>
      </c>
      <c r="EC28" s="1">
        <f t="shared" si="71"/>
        <v>0.303706355044061</v>
      </c>
      <c r="ED28" s="1">
        <f t="shared" si="72"/>
        <v>0.17509604154941022</v>
      </c>
      <c r="EE28" s="1">
        <f t="shared" si="73"/>
        <v>0.004850310902264904</v>
      </c>
      <c r="EF28" s="1">
        <f t="shared" si="74"/>
        <v>1.1471269245777849</v>
      </c>
      <c r="EG28" s="1">
        <f t="shared" si="75"/>
        <v>0.46017058070107125</v>
      </c>
      <c r="EH28" s="1">
        <f t="shared" si="76"/>
        <v>0.032614405250380736</v>
      </c>
      <c r="EI28" s="1">
        <f t="shared" si="77"/>
        <v>0</v>
      </c>
      <c r="EJ28" s="1">
        <f t="shared" si="78"/>
        <v>0.0039613668244194945</v>
      </c>
      <c r="EK28" s="1">
        <f t="shared" si="210"/>
        <v>3.9949996632701716</v>
      </c>
      <c r="EL28" s="1">
        <f t="shared" si="211"/>
        <v>0</v>
      </c>
      <c r="EM28" s="1">
        <f t="shared" si="212"/>
        <v>-0.015019786186620365</v>
      </c>
      <c r="EN28" s="1">
        <f t="shared" si="213"/>
        <v>0.032614405250380736</v>
      </c>
      <c r="EO28" s="1">
        <f t="shared" si="214"/>
        <v>0.12860479505512185</v>
      </c>
      <c r="EP28" s="1">
        <f t="shared" si="215"/>
        <v>0.006941179841718298</v>
      </c>
      <c r="EQ28" s="1">
        <f t="shared" si="216"/>
        <v>0.0019806834122097472</v>
      </c>
      <c r="ER28" s="2">
        <f t="shared" si="217"/>
        <v>0.32264392239202133</v>
      </c>
      <c r="ES28" s="1">
        <f t="shared" si="218"/>
        <v>0.4997895218675869</v>
      </c>
      <c r="ET28" s="1">
        <f t="shared" si="219"/>
        <v>0.9925745078190389</v>
      </c>
      <c r="EU28" s="1">
        <f t="shared" si="220"/>
        <v>0.3226439223920214</v>
      </c>
      <c r="EV28" s="1">
        <f t="shared" si="221"/>
        <v>2.704687825913155</v>
      </c>
      <c r="EW28" s="1">
        <f t="shared" si="222"/>
        <v>-1.742756779183509</v>
      </c>
      <c r="EX28" s="1">
        <f t="shared" si="223"/>
        <v>-1.742756779183509</v>
      </c>
      <c r="EY28" s="1">
        <f t="shared" si="224"/>
        <v>0.6470688760437685</v>
      </c>
      <c r="EZ28" s="84">
        <f t="shared" si="191"/>
        <v>1571.7983876296882</v>
      </c>
      <c r="FA28" s="84">
        <f t="shared" si="192"/>
        <v>12.353608577395299</v>
      </c>
      <c r="FB28" s="1">
        <f t="shared" si="193"/>
        <v>0.15717983876296882</v>
      </c>
      <c r="FC28" s="2">
        <f t="shared" si="94"/>
        <v>-0.814499713568668</v>
      </c>
      <c r="FD28" s="2">
        <f t="shared" si="95"/>
        <v>5.649931599316629</v>
      </c>
      <c r="FE28" s="1">
        <f t="shared" si="96"/>
        <v>13.659905333000786</v>
      </c>
      <c r="FF28" s="1">
        <f t="shared" si="225"/>
        <v>0.4209169121050166</v>
      </c>
      <c r="FG28" s="2"/>
      <c r="FH28" s="2">
        <f t="shared" si="98"/>
        <v>17.71641671813498</v>
      </c>
      <c r="FI28" s="2">
        <f t="shared" si="99"/>
        <v>0.30336762172092846</v>
      </c>
      <c r="FJ28" s="2">
        <f t="shared" si="226"/>
        <v>0.2798500611995104</v>
      </c>
      <c r="FK28" s="1">
        <f t="shared" si="227"/>
        <v>0.4976352968537169</v>
      </c>
      <c r="FL28" s="1">
        <f t="shared" si="228"/>
        <v>0.1751414002892588</v>
      </c>
      <c r="FM28" s="1">
        <f t="shared" si="229"/>
        <v>0.11695105723412558</v>
      </c>
      <c r="FN28" s="1">
        <f t="shared" si="230"/>
        <v>0.8288199665351608</v>
      </c>
      <c r="FO28" s="1">
        <f t="shared" si="105"/>
        <v>0.4934029995920344</v>
      </c>
      <c r="FP28" s="1">
        <f t="shared" si="231"/>
        <v>0.17509604154941022</v>
      </c>
      <c r="FQ28" s="1">
        <f t="shared" si="232"/>
        <v>0.8830489427658744</v>
      </c>
      <c r="FR28" s="1">
        <f t="shared" si="108"/>
        <v>0.7528663681567308</v>
      </c>
      <c r="FS28" s="1">
        <f t="shared" si="233"/>
        <v>-0.08796207093505871</v>
      </c>
      <c r="FT28" s="1">
        <f t="shared" si="234"/>
        <v>0.08119064594169222</v>
      </c>
      <c r="FU28" s="1">
        <f t="shared" si="235"/>
        <v>0.08119064594169222</v>
      </c>
      <c r="FV28" s="1">
        <f t="shared" si="236"/>
        <v>0.093905395607718</v>
      </c>
      <c r="FW28" s="1">
        <f t="shared" si="237"/>
        <v>0.4211740572045909</v>
      </c>
      <c r="FX28" s="1">
        <f t="shared" si="114"/>
        <v>0.725952867373194</v>
      </c>
      <c r="FY28" s="1">
        <f t="shared" si="115"/>
        <v>0.46017058070107125</v>
      </c>
      <c r="FZ28" s="1">
        <f t="shared" si="116"/>
        <v>0.032614405250380736</v>
      </c>
      <c r="GA28" s="1">
        <f t="shared" si="117"/>
        <v>428.2707920884752</v>
      </c>
      <c r="GB28" s="1">
        <f t="shared" si="118"/>
        <v>11.779989229675842</v>
      </c>
      <c r="GC28" s="1">
        <f t="shared" si="119"/>
        <v>2.175101559988937</v>
      </c>
      <c r="GD28" s="1">
        <f t="shared" si="238"/>
        <v>8.945105165454504E-06</v>
      </c>
      <c r="GE28" s="1">
        <f t="shared" si="239"/>
        <v>1830.972451860465</v>
      </c>
      <c r="GF28" s="1">
        <f t="shared" si="122"/>
        <v>0.4133405393959346</v>
      </c>
      <c r="GG28" s="2">
        <f t="shared" si="123"/>
        <v>24.847570856121706</v>
      </c>
      <c r="GH28" s="4">
        <f t="shared" si="240"/>
        <v>15.480841837879172</v>
      </c>
      <c r="GI28" s="4">
        <f t="shared" si="241"/>
        <v>20.513119673835465</v>
      </c>
      <c r="GJ28" s="4">
        <f t="shared" si="126"/>
        <v>3.47</v>
      </c>
      <c r="GK28" s="4">
        <f t="shared" si="127"/>
        <v>4.055462459999994</v>
      </c>
      <c r="GL28" s="4">
        <f t="shared" si="242"/>
        <v>15.480841837879172</v>
      </c>
      <c r="GM28" s="1">
        <f t="shared" si="243"/>
        <v>428.2707920884752</v>
      </c>
      <c r="GN28" s="1">
        <f t="shared" si="243"/>
        <v>11.779989229675842</v>
      </c>
      <c r="GO28" s="4">
        <f t="shared" si="244"/>
        <v>15.638995081434643</v>
      </c>
      <c r="GP28" s="4"/>
      <c r="GQ28" s="7">
        <f t="shared" si="131"/>
        <v>0.17994635245167512</v>
      </c>
      <c r="GR28" s="7">
        <f t="shared" si="245"/>
        <v>1.1471269245777849</v>
      </c>
      <c r="GS28" s="7">
        <f t="shared" si="246"/>
        <v>0</v>
      </c>
      <c r="GT28" s="7">
        <f t="shared" si="134"/>
        <v>0.032614405250380736</v>
      </c>
      <c r="GU28" s="7">
        <f t="shared" si="135"/>
        <v>0</v>
      </c>
      <c r="GV28" s="7">
        <f t="shared" si="136"/>
        <v>0.032614405250380736</v>
      </c>
      <c r="GW28" s="7">
        <f t="shared" si="247"/>
        <v>0</v>
      </c>
      <c r="GX28" s="7">
        <f t="shared" si="138"/>
        <v>0.12860479505512185</v>
      </c>
      <c r="GY28" s="7">
        <f t="shared" si="139"/>
        <v>0.1524878281982148</v>
      </c>
      <c r="GZ28" s="7">
        <f t="shared" si="248"/>
        <v>0.1355963951398898</v>
      </c>
      <c r="HA28" s="7">
        <f t="shared" si="141"/>
        <v>0.26596208041675024</v>
      </c>
      <c r="HB28" s="7">
        <f t="shared" si="142"/>
        <v>0.04172067208610625</v>
      </c>
      <c r="HC28" s="7">
        <f t="shared" si="249"/>
        <v>0.4384384865827362</v>
      </c>
      <c r="HD28" s="7">
        <f t="shared" si="250"/>
        <v>0.06877652746581166</v>
      </c>
      <c r="HE28" s="7">
        <f t="shared" si="251"/>
        <v>0.032614405250380736</v>
      </c>
      <c r="HF28" s="7"/>
      <c r="HG28" s="16">
        <f t="shared" si="252"/>
        <v>-8.222863658984097E-07</v>
      </c>
      <c r="HH28" s="16">
        <f t="shared" si="253"/>
        <v>1.1283828776036157E-12</v>
      </c>
      <c r="HI28" s="16">
        <f t="shared" si="254"/>
        <v>2.559990747578413E-05</v>
      </c>
      <c r="HJ28" s="16">
        <f t="shared" si="255"/>
        <v>7.240376339160631E-09</v>
      </c>
      <c r="HK28" s="7">
        <f t="shared" si="256"/>
        <v>2.175101559988937</v>
      </c>
      <c r="HL28" s="7">
        <f t="shared" si="151"/>
        <v>447.47578573765503</v>
      </c>
      <c r="HM28" s="7">
        <f t="shared" si="152"/>
        <v>10.049833923130802</v>
      </c>
      <c r="HN28" s="7">
        <f t="shared" si="153"/>
        <v>447.4751241673145</v>
      </c>
      <c r="HO28" s="7">
        <f t="shared" si="154"/>
        <v>11.928491281386798</v>
      </c>
      <c r="HP28" s="7">
        <f t="shared" si="155"/>
        <v>10.049833923130802</v>
      </c>
      <c r="HQ28" s="2">
        <f t="shared" si="257"/>
        <v>0.4209169121050166</v>
      </c>
      <c r="HR28" s="17">
        <f t="shared" si="157"/>
        <v>1285</v>
      </c>
      <c r="HS28" s="17"/>
      <c r="HT28" s="7">
        <f t="shared" si="258"/>
        <v>2.073097196754144</v>
      </c>
      <c r="HU28" s="17">
        <f t="shared" si="159"/>
        <v>1830.972451860465</v>
      </c>
      <c r="HV28" s="16">
        <f t="shared" si="259"/>
        <v>1.2748193112727327E-05</v>
      </c>
      <c r="HW28" s="1">
        <f t="shared" si="161"/>
        <v>0.5935027761421561</v>
      </c>
      <c r="HX28" s="1">
        <f t="shared" si="260"/>
        <v>19929.64376840058</v>
      </c>
      <c r="HY28" s="16">
        <f t="shared" si="163"/>
        <v>440.65282033895903</v>
      </c>
      <c r="HZ28" s="1">
        <f t="shared" si="164"/>
        <v>-0.12752796756919768</v>
      </c>
      <c r="IA28" s="1">
        <f t="shared" si="165"/>
        <v>12.2459640382488</v>
      </c>
      <c r="IB28" s="4">
        <f t="shared" si="261"/>
        <v>19.92964376840058</v>
      </c>
      <c r="IC28" s="17">
        <f t="shared" si="262"/>
        <v>15480.841837879172</v>
      </c>
      <c r="ID28" s="16">
        <f t="shared" si="168"/>
        <v>442.1433869532359</v>
      </c>
      <c r="IE28" s="7">
        <f t="shared" si="169"/>
        <v>-0.09918033033666235</v>
      </c>
      <c r="IF28" s="7">
        <f t="shared" si="170"/>
        <v>12.274311675481336</v>
      </c>
      <c r="IG28" s="4">
        <f t="shared" si="171"/>
        <v>15.480841837879172</v>
      </c>
      <c r="IH28" s="17">
        <f t="shared" si="263"/>
        <v>20513.119673835467</v>
      </c>
      <c r="II28" s="4">
        <f t="shared" si="173"/>
        <v>440.4587462583683</v>
      </c>
      <c r="IJ28" s="7">
        <f t="shared" si="174"/>
        <v>-0.131240778463547</v>
      </c>
      <c r="IK28" s="7">
        <f t="shared" si="175"/>
        <v>12.24225122735445</v>
      </c>
      <c r="IL28" s="4">
        <f t="shared" si="176"/>
        <v>20.513119673835465</v>
      </c>
      <c r="IN28" s="1">
        <f t="shared" si="177"/>
        <v>12.417418132928761</v>
      </c>
      <c r="IO28" s="1">
        <f t="shared" si="178"/>
        <v>13.108069076910851</v>
      </c>
    </row>
    <row r="29" spans="1:249" ht="12.75">
      <c r="A29" s="1" t="s">
        <v>200</v>
      </c>
      <c r="B29" s="85" t="s">
        <v>207</v>
      </c>
      <c r="C29" s="3">
        <v>1.3</v>
      </c>
      <c r="D29" s="3">
        <v>1295</v>
      </c>
      <c r="F29" s="1">
        <v>5205</v>
      </c>
      <c r="G29" s="33">
        <v>48.8</v>
      </c>
      <c r="H29" s="33">
        <v>1.13</v>
      </c>
      <c r="I29" s="33">
        <v>16</v>
      </c>
      <c r="J29" s="33">
        <v>8.51</v>
      </c>
      <c r="K29" s="33">
        <v>0.19</v>
      </c>
      <c r="L29" s="33">
        <v>11.4</v>
      </c>
      <c r="M29" s="33">
        <v>10.8</v>
      </c>
      <c r="N29" s="33">
        <v>2.72</v>
      </c>
      <c r="O29" s="33">
        <v>0.13</v>
      </c>
      <c r="P29" s="33">
        <v>0.04</v>
      </c>
      <c r="Q29" s="33">
        <v>0.11</v>
      </c>
      <c r="R29" s="33">
        <v>0</v>
      </c>
      <c r="S29" s="4">
        <f t="shared" si="2"/>
        <v>99.83000000000001</v>
      </c>
      <c r="U29" s="33">
        <v>51.9</v>
      </c>
      <c r="V29" s="33">
        <v>0.48</v>
      </c>
      <c r="W29" s="33">
        <v>7.25</v>
      </c>
      <c r="X29" s="33">
        <v>6.05</v>
      </c>
      <c r="Y29" s="33">
        <v>0.18</v>
      </c>
      <c r="Z29" s="33">
        <v>21.5</v>
      </c>
      <c r="AA29" s="33">
        <v>12.4</v>
      </c>
      <c r="AB29" s="33">
        <v>0.48</v>
      </c>
      <c r="AC29" s="33">
        <v>0</v>
      </c>
      <c r="AD29" s="33">
        <v>0.19</v>
      </c>
      <c r="AF29" s="53">
        <f t="shared" si="179"/>
        <v>1614.6284911424161</v>
      </c>
      <c r="AG29" s="53">
        <f t="shared" si="194"/>
        <v>14.725565017881404</v>
      </c>
      <c r="AI29" s="51">
        <f t="shared" si="3"/>
        <v>1614.6284911424161</v>
      </c>
      <c r="AJ29" s="51">
        <f t="shared" si="196"/>
        <v>1341.4784911424163</v>
      </c>
      <c r="AK29" s="51">
        <f t="shared" si="180"/>
        <v>1610.278666844729</v>
      </c>
      <c r="AL29" s="51">
        <f t="shared" si="197"/>
        <v>1337.1286668447292</v>
      </c>
      <c r="AM29" s="51">
        <f t="shared" si="6"/>
        <v>14.725565017881404</v>
      </c>
      <c r="AN29" s="51"/>
      <c r="AO29" s="51">
        <f t="shared" si="181"/>
        <v>1639.5929964654392</v>
      </c>
      <c r="AP29" s="51">
        <f t="shared" si="182"/>
        <v>14.719495536566129</v>
      </c>
      <c r="AQ29" s="51">
        <f t="shared" si="183"/>
        <v>1366.4429964654391</v>
      </c>
      <c r="AR29" s="70"/>
      <c r="AS29" s="90">
        <f t="shared" si="7"/>
        <v>0.29901183222815336</v>
      </c>
      <c r="AT29" s="90">
        <f t="shared" si="8"/>
        <v>0.49251877300860225</v>
      </c>
      <c r="AU29" s="90">
        <f t="shared" si="9"/>
        <v>0.05747046473968694</v>
      </c>
      <c r="AV29" s="90">
        <f t="shared" si="10"/>
        <v>0.012112416993878482</v>
      </c>
      <c r="AW29" s="90">
        <f t="shared" si="11"/>
        <v>0.012389677908866002</v>
      </c>
      <c r="AX29" s="90">
        <f t="shared" si="184"/>
        <v>0.0014014376861927929</v>
      </c>
      <c r="AY29" s="51">
        <f t="shared" si="185"/>
        <v>0.8749046025653799</v>
      </c>
      <c r="AZ29" s="70"/>
      <c r="BA29" s="90">
        <f t="shared" si="12"/>
        <v>0.33469997067789187</v>
      </c>
      <c r="BB29" s="90">
        <f t="shared" si="0"/>
        <v>0.4930686982953073</v>
      </c>
      <c r="BC29" s="90">
        <f t="shared" si="1"/>
        <v>0.11819796792644918</v>
      </c>
      <c r="BD29" s="90">
        <f t="shared" si="13"/>
        <v>0.03312346183653655</v>
      </c>
      <c r="BE29" s="90">
        <f t="shared" si="14"/>
        <v>0.017299350632009894</v>
      </c>
      <c r="BF29" s="90">
        <f t="shared" si="15"/>
        <v>0.0026731510943050225</v>
      </c>
      <c r="BG29" s="90">
        <f t="shared" si="186"/>
        <v>0.9990626004624998</v>
      </c>
      <c r="BH29" s="90">
        <f t="shared" si="187"/>
        <v>0.3769573415680595</v>
      </c>
      <c r="BI29" s="70"/>
      <c r="BJ29" s="51">
        <f t="shared" si="16"/>
        <v>14.103714685754731</v>
      </c>
      <c r="BK29" s="51">
        <f t="shared" si="188"/>
        <v>15.221154136403177</v>
      </c>
      <c r="BL29" s="51">
        <f t="shared" si="17"/>
        <v>1341.8693104468798</v>
      </c>
      <c r="BM29" s="51">
        <f t="shared" si="18"/>
        <v>1334.1778724576957</v>
      </c>
      <c r="BN29" s="51">
        <f t="shared" si="189"/>
        <v>1334.1778724576957</v>
      </c>
      <c r="BO29" s="51"/>
      <c r="BP29" s="51">
        <f t="shared" si="19"/>
        <v>15.7725020050907</v>
      </c>
      <c r="BQ29" s="51">
        <f t="shared" si="20"/>
        <v>13.644142401677307</v>
      </c>
      <c r="BR29" s="51">
        <f t="shared" si="21"/>
        <v>15.590275909637729</v>
      </c>
      <c r="BS29" s="51">
        <f t="shared" si="22"/>
        <v>1316.9984149458014</v>
      </c>
      <c r="BT29" s="71">
        <f t="shared" si="190"/>
        <v>0.3098579875619497</v>
      </c>
      <c r="BU29" s="70"/>
      <c r="BV29" s="51">
        <f t="shared" si="23"/>
        <v>12.524609490532221</v>
      </c>
      <c r="BW29" s="51">
        <f t="shared" si="24"/>
        <v>14.105638031105638</v>
      </c>
      <c r="BX29" s="51">
        <f t="shared" si="25"/>
        <v>1348.3523733947436</v>
      </c>
      <c r="BY29" s="2"/>
      <c r="BZ29" s="1">
        <f t="shared" si="26"/>
        <v>0.812192203287714</v>
      </c>
      <c r="CA29" s="1">
        <f t="shared" si="27"/>
        <v>0.014146431844244028</v>
      </c>
      <c r="CB29" s="1">
        <f t="shared" si="28"/>
        <v>0.3138454899422328</v>
      </c>
      <c r="CC29" s="1">
        <f t="shared" si="29"/>
        <v>0.11844713165864956</v>
      </c>
      <c r="CD29" s="1">
        <f t="shared" si="30"/>
        <v>0.0026784140969162997</v>
      </c>
      <c r="CE29" s="1">
        <f t="shared" si="31"/>
        <v>0.2828475302944592</v>
      </c>
      <c r="CF29" s="1">
        <f t="shared" si="32"/>
        <v>0.1925909546448302</v>
      </c>
      <c r="CG29" s="1">
        <f t="shared" si="33"/>
        <v>0.08777180621146874</v>
      </c>
      <c r="CH29" s="1">
        <f t="shared" si="34"/>
        <v>0.0027602021317253388</v>
      </c>
      <c r="CI29" s="1">
        <f t="shared" si="35"/>
        <v>0.0005263220222344739</v>
      </c>
      <c r="CJ29" s="1">
        <f t="shared" si="36"/>
        <v>0.0015499834433586731</v>
      </c>
      <c r="CK29" s="1">
        <f t="shared" si="198"/>
        <v>1.829356469577833</v>
      </c>
      <c r="CM29" s="1">
        <f t="shared" si="38"/>
        <v>0.4439770032765383</v>
      </c>
      <c r="CN29" s="1">
        <f t="shared" si="39"/>
        <v>0.007733009984384645</v>
      </c>
      <c r="CO29" s="1">
        <f t="shared" si="40"/>
        <v>0.17156059803623733</v>
      </c>
      <c r="CP29" s="1">
        <f t="shared" si="41"/>
        <v>0.06474797756939303</v>
      </c>
      <c r="CQ29" s="1">
        <f t="shared" si="42"/>
        <v>0.0014641291303571942</v>
      </c>
      <c r="CR29" s="1">
        <f t="shared" si="43"/>
        <v>0.1546158635554135</v>
      </c>
      <c r="CS29" s="1">
        <f t="shared" si="44"/>
        <v>0.1052779804524785</v>
      </c>
      <c r="CT29" s="1">
        <f t="shared" si="45"/>
        <v>0.047979607950179415</v>
      </c>
      <c r="CU29" s="1">
        <f t="shared" si="46"/>
        <v>0.00150883776761252</v>
      </c>
      <c r="CV29" s="1">
        <f t="shared" si="47"/>
        <v>0.0002877088369528849</v>
      </c>
      <c r="CW29" s="1">
        <f t="shared" si="48"/>
        <v>0.0008472834404528978</v>
      </c>
      <c r="CX29" s="1">
        <f t="shared" si="199"/>
        <v>1</v>
      </c>
      <c r="CZ29" s="1">
        <f t="shared" si="50"/>
        <v>0.863786380135909</v>
      </c>
      <c r="DA29" s="1">
        <f t="shared" si="51"/>
        <v>0.006009103792245251</v>
      </c>
      <c r="DB29" s="1">
        <f t="shared" si="52"/>
        <v>0.07110561881503712</v>
      </c>
      <c r="DC29" s="1">
        <f t="shared" si="53"/>
        <v>0.08420742027436308</v>
      </c>
      <c r="DD29" s="1">
        <f t="shared" si="54"/>
        <v>0.002537444933920705</v>
      </c>
      <c r="DE29" s="1">
        <f t="shared" si="55"/>
        <v>0.5334405176606029</v>
      </c>
      <c r="DF29" s="1">
        <f t="shared" si="56"/>
        <v>0.2211229479255458</v>
      </c>
      <c r="DG29" s="1">
        <f t="shared" si="57"/>
        <v>0.007744571136306065</v>
      </c>
      <c r="DH29" s="1">
        <f t="shared" si="58"/>
        <v>0</v>
      </c>
      <c r="DI29" s="1">
        <f t="shared" si="59"/>
        <v>0.0012500148028068755</v>
      </c>
      <c r="DJ29" s="1">
        <f t="shared" si="200"/>
        <v>1.791204019476737</v>
      </c>
      <c r="DL29" s="1">
        <f t="shared" si="201"/>
        <v>1.727572760271818</v>
      </c>
      <c r="DM29" s="1">
        <f t="shared" si="201"/>
        <v>0.012018207584490502</v>
      </c>
      <c r="DN29" s="1">
        <f t="shared" si="202"/>
        <v>0.21331685644511134</v>
      </c>
      <c r="DO29" s="1">
        <f t="shared" si="203"/>
        <v>0.08420742027436308</v>
      </c>
      <c r="DP29" s="1">
        <f t="shared" si="203"/>
        <v>0.002537444933920705</v>
      </c>
      <c r="DQ29" s="1">
        <f t="shared" si="203"/>
        <v>0.5334405176606029</v>
      </c>
      <c r="DR29" s="1">
        <f t="shared" si="204"/>
        <v>0.2211229479255458</v>
      </c>
      <c r="DS29" s="1">
        <f t="shared" si="204"/>
        <v>0.007744571136306065</v>
      </c>
      <c r="DT29" s="1">
        <f t="shared" si="204"/>
        <v>0</v>
      </c>
      <c r="DU29" s="1">
        <f t="shared" si="205"/>
        <v>0.0037500444084206264</v>
      </c>
      <c r="DV29" s="1">
        <f t="shared" si="206"/>
        <v>2.8057107706405793</v>
      </c>
      <c r="DW29" s="1">
        <f t="shared" si="207"/>
        <v>2.1384955508547034</v>
      </c>
      <c r="DY29" s="1">
        <f t="shared" si="67"/>
        <v>1.847203330809531</v>
      </c>
      <c r="DZ29" s="1">
        <f t="shared" si="68"/>
        <v>0.012850441724340595</v>
      </c>
      <c r="EA29" s="1">
        <f t="shared" si="208"/>
        <v>0.15279666919046897</v>
      </c>
      <c r="EB29" s="1">
        <f t="shared" si="209"/>
        <v>0.15132142976298574</v>
      </c>
      <c r="EC29" s="1">
        <f t="shared" si="71"/>
        <v>0.3041180989534547</v>
      </c>
      <c r="ED29" s="1">
        <f t="shared" si="72"/>
        <v>0.1800771936056776</v>
      </c>
      <c r="EE29" s="1">
        <f t="shared" si="73"/>
        <v>0.005426314701728234</v>
      </c>
      <c r="EF29" s="1">
        <f t="shared" si="74"/>
        <v>1.140760173662829</v>
      </c>
      <c r="EG29" s="1">
        <f t="shared" si="75"/>
        <v>0.47287044033065595</v>
      </c>
      <c r="EH29" s="1">
        <f t="shared" si="76"/>
        <v>0.03312346183653655</v>
      </c>
      <c r="EI29" s="1">
        <f t="shared" si="77"/>
        <v>0</v>
      </c>
      <c r="EJ29" s="1">
        <f t="shared" si="78"/>
        <v>0.005346302188610045</v>
      </c>
      <c r="EK29" s="1">
        <f t="shared" si="210"/>
        <v>4.0017757578133635</v>
      </c>
      <c r="EL29" s="1">
        <f t="shared" si="211"/>
        <v>0.0035515156267285526</v>
      </c>
      <c r="EM29" s="1">
        <f t="shared" si="212"/>
        <v>0.0053249095026774995</v>
      </c>
      <c r="EN29" s="1">
        <f t="shared" si="213"/>
        <v>0.03312346183653655</v>
      </c>
      <c r="EO29" s="1">
        <f t="shared" si="214"/>
        <v>0.11819796792644918</v>
      </c>
      <c r="EP29" s="1">
        <f t="shared" si="215"/>
        <v>0.017299350632009894</v>
      </c>
      <c r="EQ29" s="1">
        <f t="shared" si="216"/>
        <v>0.0026731510943050225</v>
      </c>
      <c r="ER29" s="2">
        <f t="shared" si="217"/>
        <v>0.33469997067789187</v>
      </c>
      <c r="ES29" s="1">
        <f t="shared" si="218"/>
        <v>0.4930686982953073</v>
      </c>
      <c r="ET29" s="1">
        <f t="shared" si="219"/>
        <v>0.9990626004624998</v>
      </c>
      <c r="EU29" s="1">
        <f t="shared" si="220"/>
        <v>0.3346999706778918</v>
      </c>
      <c r="EV29" s="1">
        <f t="shared" si="221"/>
        <v>3.016249519930196</v>
      </c>
      <c r="EW29" s="1">
        <f t="shared" si="222"/>
        <v>-1.2813692932694705</v>
      </c>
      <c r="EX29" s="1">
        <f t="shared" si="223"/>
        <v>-1.2813692932694702</v>
      </c>
      <c r="EY29" s="1">
        <f t="shared" si="224"/>
        <v>0.7048375099679494</v>
      </c>
      <c r="EZ29" s="84">
        <f t="shared" si="191"/>
        <v>1614.6284911424161</v>
      </c>
      <c r="FA29" s="84">
        <f t="shared" si="192"/>
        <v>14.725565017881404</v>
      </c>
      <c r="FB29" s="1">
        <f t="shared" si="193"/>
        <v>0.1614628491142416</v>
      </c>
      <c r="FC29" s="2">
        <f t="shared" si="94"/>
        <v>-0.4750558387880164</v>
      </c>
      <c r="FD29" s="2">
        <f t="shared" si="95"/>
        <v>5.636397661994774</v>
      </c>
      <c r="FE29" s="1">
        <f t="shared" si="96"/>
        <v>12.49904327045911</v>
      </c>
      <c r="FF29" s="1">
        <f t="shared" si="225"/>
        <v>0.4093858511553379</v>
      </c>
      <c r="FG29" s="2"/>
      <c r="FH29" s="2">
        <f t="shared" si="98"/>
        <v>16.613887540807085</v>
      </c>
      <c r="FI29" s="2">
        <f t="shared" si="99"/>
        <v>0.3002330853875272</v>
      </c>
      <c r="FJ29" s="2">
        <f t="shared" si="226"/>
        <v>0.3769573415680595</v>
      </c>
      <c r="FK29" s="1">
        <f t="shared" si="227"/>
        <v>0.5114202168689208</v>
      </c>
      <c r="FL29" s="1">
        <f t="shared" si="228"/>
        <v>0.17306968930266495</v>
      </c>
      <c r="FM29" s="1">
        <f t="shared" si="229"/>
        <v>0.11736002040615523</v>
      </c>
      <c r="FN29" s="1">
        <f t="shared" si="230"/>
        <v>0.8358281285126736</v>
      </c>
      <c r="FO29" s="1">
        <f t="shared" si="105"/>
        <v>0.4814577231291044</v>
      </c>
      <c r="FP29" s="1">
        <f t="shared" si="231"/>
        <v>0.17652567797894902</v>
      </c>
      <c r="FQ29" s="1">
        <f t="shared" si="232"/>
        <v>0.8826399795938448</v>
      </c>
      <c r="FR29" s="1">
        <f t="shared" si="108"/>
        <v>0.7416453650513286</v>
      </c>
      <c r="FS29" s="1">
        <f t="shared" si="233"/>
        <v>-0.08624687746402164</v>
      </c>
      <c r="FT29" s="1">
        <f t="shared" si="234"/>
        <v>0.08065858627966964</v>
      </c>
      <c r="FU29" s="1">
        <f t="shared" si="235"/>
        <v>0.08065858627966964</v>
      </c>
      <c r="FV29" s="1">
        <f t="shared" si="236"/>
        <v>0.09586709169927939</v>
      </c>
      <c r="FW29" s="1">
        <f t="shared" si="237"/>
        <v>0.40792119685140954</v>
      </c>
      <c r="FX29" s="1">
        <f t="shared" si="114"/>
        <v>0.7328389768114194</v>
      </c>
      <c r="FY29" s="1">
        <f t="shared" si="115"/>
        <v>0.47287044033065595</v>
      </c>
      <c r="FZ29" s="1">
        <f t="shared" si="116"/>
        <v>0.03312346183653655</v>
      </c>
      <c r="GA29" s="1">
        <f t="shared" si="117"/>
        <v>428.95228829429334</v>
      </c>
      <c r="GB29" s="1">
        <f t="shared" si="118"/>
        <v>11.774292378476323</v>
      </c>
      <c r="GC29" s="1">
        <f t="shared" si="119"/>
        <v>2.189471646653733</v>
      </c>
      <c r="GD29" s="1">
        <f t="shared" si="238"/>
        <v>9.004202146863476E-06</v>
      </c>
      <c r="GE29" s="1">
        <f t="shared" si="239"/>
        <v>1843.920295174782</v>
      </c>
      <c r="GF29" s="1">
        <f t="shared" si="122"/>
        <v>0.4109785106784606</v>
      </c>
      <c r="GG29" s="2">
        <f t="shared" si="123"/>
        <v>28.564900909637714</v>
      </c>
      <c r="GH29" s="4">
        <f t="shared" si="240"/>
        <v>14.917550758401415</v>
      </c>
      <c r="GI29" s="4">
        <f t="shared" si="241"/>
        <v>19.733339779860017</v>
      </c>
      <c r="GJ29" s="4">
        <f t="shared" si="126"/>
        <v>2.85</v>
      </c>
      <c r="GK29" s="4">
        <f t="shared" si="127"/>
        <v>4.327832319999999</v>
      </c>
      <c r="GL29" s="4">
        <f t="shared" si="242"/>
        <v>14.917550758401415</v>
      </c>
      <c r="GM29" s="1">
        <f t="shared" si="243"/>
        <v>428.95228829429334</v>
      </c>
      <c r="GN29" s="1">
        <f t="shared" si="243"/>
        <v>11.774292378476323</v>
      </c>
      <c r="GO29" s="4">
        <f t="shared" si="244"/>
        <v>14.82888981880626</v>
      </c>
      <c r="GP29" s="4"/>
      <c r="GQ29" s="7">
        <f t="shared" si="131"/>
        <v>0.18195199268067727</v>
      </c>
      <c r="GR29" s="7">
        <f t="shared" si="245"/>
        <v>1.140760173662829</v>
      </c>
      <c r="GS29" s="7">
        <f t="shared" si="246"/>
        <v>0.0035515156267285526</v>
      </c>
      <c r="GT29" s="7">
        <f t="shared" si="134"/>
        <v>0.029571946209807996</v>
      </c>
      <c r="GU29" s="7">
        <f t="shared" si="135"/>
        <v>0</v>
      </c>
      <c r="GV29" s="7">
        <f t="shared" si="136"/>
        <v>0.029571946209807996</v>
      </c>
      <c r="GW29" s="7">
        <f t="shared" si="247"/>
        <v>0</v>
      </c>
      <c r="GX29" s="7">
        <f t="shared" si="138"/>
        <v>0.12174948355317775</v>
      </c>
      <c r="GY29" s="7">
        <f t="shared" si="139"/>
        <v>0.15279666919046897</v>
      </c>
      <c r="GZ29" s="7">
        <f t="shared" si="248"/>
        <v>0.13755977854476364</v>
      </c>
      <c r="HA29" s="7">
        <f t="shared" si="141"/>
        <v>0.2760444940641555</v>
      </c>
      <c r="HB29" s="7">
        <f t="shared" si="142"/>
        <v>0.044029277076031485</v>
      </c>
      <c r="HC29" s="7">
        <f t="shared" si="249"/>
        <v>0.4260507284151638</v>
      </c>
      <c r="HD29" s="7">
        <f t="shared" si="250"/>
        <v>0.06795536941764387</v>
      </c>
      <c r="HE29" s="7">
        <f t="shared" si="251"/>
        <v>0.03312346183653655</v>
      </c>
      <c r="HF29" s="7"/>
      <c r="HG29" s="16">
        <f t="shared" si="252"/>
        <v>-8.240843173118802E-07</v>
      </c>
      <c r="HH29" s="16">
        <f t="shared" si="253"/>
        <v>1.145061972875453E-12</v>
      </c>
      <c r="HI29" s="16">
        <f t="shared" si="254"/>
        <v>2.564259599309357E-05</v>
      </c>
      <c r="HJ29" s="16">
        <f t="shared" si="255"/>
        <v>7.247725410734688E-09</v>
      </c>
      <c r="HK29" s="7">
        <f t="shared" si="256"/>
        <v>2.189471646653733</v>
      </c>
      <c r="HL29" s="7">
        <f t="shared" si="151"/>
        <v>447.9325640253456</v>
      </c>
      <c r="HM29" s="7">
        <f t="shared" si="152"/>
        <v>9.666603773744717</v>
      </c>
      <c r="HN29" s="7">
        <f t="shared" si="153"/>
        <v>447.931932960563</v>
      </c>
      <c r="HO29" s="7">
        <f t="shared" si="154"/>
        <v>11.451882578791825</v>
      </c>
      <c r="HP29" s="7">
        <f t="shared" si="155"/>
        <v>9.666603773744717</v>
      </c>
      <c r="HQ29" s="2">
        <f t="shared" si="257"/>
        <v>0.4093858511553379</v>
      </c>
      <c r="HR29" s="17">
        <f t="shared" si="157"/>
        <v>1270</v>
      </c>
      <c r="HS29" s="17"/>
      <c r="HT29" s="7">
        <f t="shared" si="258"/>
        <v>2.072778116118459</v>
      </c>
      <c r="HU29" s="17">
        <f t="shared" si="159"/>
        <v>1843.920295174782</v>
      </c>
      <c r="HV29" s="16">
        <f t="shared" si="259"/>
        <v>1.2669397137515365E-05</v>
      </c>
      <c r="HW29" s="1">
        <f t="shared" si="161"/>
        <v>0.5824063334960371</v>
      </c>
      <c r="HX29" s="1">
        <f t="shared" si="260"/>
        <v>19253.50239858585</v>
      </c>
      <c r="HY29" s="16">
        <f t="shared" si="163"/>
        <v>441.3120831928342</v>
      </c>
      <c r="HZ29" s="1">
        <f t="shared" si="164"/>
        <v>-0.12230408016570654</v>
      </c>
      <c r="IA29" s="1">
        <f t="shared" si="165"/>
        <v>12.234394631806653</v>
      </c>
      <c r="IB29" s="4">
        <f t="shared" si="261"/>
        <v>19.25350239858585</v>
      </c>
      <c r="IC29" s="17">
        <f t="shared" si="262"/>
        <v>14917.550758401414</v>
      </c>
      <c r="ID29" s="16">
        <f t="shared" si="168"/>
        <v>442.7720363526172</v>
      </c>
      <c r="IE29" s="7">
        <f t="shared" si="169"/>
        <v>-0.09487176721060248</v>
      </c>
      <c r="IF29" s="7">
        <f t="shared" si="170"/>
        <v>12.261826944761758</v>
      </c>
      <c r="IG29" s="4">
        <f t="shared" si="171"/>
        <v>14.917550758401415</v>
      </c>
      <c r="IH29" s="17">
        <f t="shared" si="263"/>
        <v>19733.339779860016</v>
      </c>
      <c r="II29" s="4">
        <f t="shared" si="173"/>
        <v>441.15165272399497</v>
      </c>
      <c r="IJ29" s="7">
        <f t="shared" si="174"/>
        <v>-0.1253359293977886</v>
      </c>
      <c r="IK29" s="7">
        <f t="shared" si="175"/>
        <v>12.231362782574571</v>
      </c>
      <c r="IL29" s="4">
        <f t="shared" si="176"/>
        <v>19.733339779860017</v>
      </c>
      <c r="IN29" s="1">
        <f t="shared" si="177"/>
        <v>13.388156500645636</v>
      </c>
      <c r="IO29" s="1">
        <f t="shared" si="178"/>
        <v>12.718371951844205</v>
      </c>
    </row>
    <row r="30" spans="1:249" ht="12.75">
      <c r="A30" s="1" t="s">
        <v>200</v>
      </c>
      <c r="B30" s="85" t="s">
        <v>208</v>
      </c>
      <c r="C30" s="3">
        <v>1.3</v>
      </c>
      <c r="D30" s="3">
        <v>1295</v>
      </c>
      <c r="F30" s="1">
        <v>5206</v>
      </c>
      <c r="G30" s="33">
        <v>48.9</v>
      </c>
      <c r="H30" s="33">
        <v>1.4</v>
      </c>
      <c r="I30" s="33">
        <v>17.7</v>
      </c>
      <c r="J30" s="33">
        <v>10.2</v>
      </c>
      <c r="K30" s="33">
        <v>0.1</v>
      </c>
      <c r="L30" s="33">
        <v>7.93</v>
      </c>
      <c r="M30" s="33">
        <v>9.13</v>
      </c>
      <c r="N30" s="33">
        <v>4.11</v>
      </c>
      <c r="O30" s="33">
        <v>0.21</v>
      </c>
      <c r="P30" s="33">
        <v>0</v>
      </c>
      <c r="Q30" s="33">
        <v>0</v>
      </c>
      <c r="R30" s="33">
        <v>0</v>
      </c>
      <c r="S30" s="4">
        <f t="shared" si="2"/>
        <v>99.67999999999998</v>
      </c>
      <c r="U30" s="33">
        <v>50.5</v>
      </c>
      <c r="V30" s="33">
        <v>0.68</v>
      </c>
      <c r="W30" s="33">
        <v>8.42</v>
      </c>
      <c r="X30" s="33">
        <v>7.66</v>
      </c>
      <c r="Y30" s="33">
        <v>0.18</v>
      </c>
      <c r="Z30" s="33">
        <v>19.3</v>
      </c>
      <c r="AA30" s="33">
        <v>12.6</v>
      </c>
      <c r="AB30" s="33">
        <v>0.67</v>
      </c>
      <c r="AC30" s="33">
        <v>0</v>
      </c>
      <c r="AD30" s="33">
        <v>0.1</v>
      </c>
      <c r="AF30" s="53">
        <f t="shared" si="179"/>
        <v>1561.788578811237</v>
      </c>
      <c r="AG30" s="53">
        <f t="shared" si="194"/>
        <v>13.542309136008578</v>
      </c>
      <c r="AI30" s="51">
        <f t="shared" si="3"/>
        <v>1561.788578811237</v>
      </c>
      <c r="AJ30" s="51">
        <f t="shared" si="196"/>
        <v>1288.638578811237</v>
      </c>
      <c r="AK30" s="51">
        <f t="shared" si="180"/>
        <v>1562.3369554985277</v>
      </c>
      <c r="AL30" s="51">
        <f t="shared" si="197"/>
        <v>1289.1869554985278</v>
      </c>
      <c r="AM30" s="51">
        <f t="shared" si="6"/>
        <v>13.542309136008578</v>
      </c>
      <c r="AN30" s="51"/>
      <c r="AO30" s="51">
        <f t="shared" si="181"/>
        <v>1562.9238046396108</v>
      </c>
      <c r="AP30" s="51">
        <f t="shared" si="182"/>
        <v>13.239026729500493</v>
      </c>
      <c r="AQ30" s="51">
        <f t="shared" si="183"/>
        <v>1289.7738046396107</v>
      </c>
      <c r="AR30" s="70"/>
      <c r="AS30" s="90">
        <f t="shared" si="7"/>
        <v>0.3140322441556666</v>
      </c>
      <c r="AT30" s="90">
        <f t="shared" si="8"/>
        <v>0.45830759946922983</v>
      </c>
      <c r="AU30" s="90">
        <f t="shared" si="9"/>
        <v>0.060149295570101464</v>
      </c>
      <c r="AV30" s="90">
        <f t="shared" si="10"/>
        <v>0.01898083802562899</v>
      </c>
      <c r="AW30" s="90">
        <f t="shared" si="11"/>
        <v>0.01953450669480283</v>
      </c>
      <c r="AX30" s="90">
        <f t="shared" si="184"/>
        <v>0</v>
      </c>
      <c r="AY30" s="51">
        <f t="shared" si="185"/>
        <v>0.8710044839154298</v>
      </c>
      <c r="AZ30" s="70"/>
      <c r="BA30" s="90">
        <f t="shared" si="12"/>
        <v>0.3296619483711163</v>
      </c>
      <c r="BB30" s="90">
        <f t="shared" si="0"/>
        <v>0.46897485406510164</v>
      </c>
      <c r="BC30" s="90">
        <f t="shared" si="1"/>
        <v>0.13052581772939328</v>
      </c>
      <c r="BD30" s="90">
        <f t="shared" si="13"/>
        <v>0.04681023783998625</v>
      </c>
      <c r="BE30" s="90">
        <f t="shared" si="14"/>
        <v>0.02486511283157035</v>
      </c>
      <c r="BF30" s="90">
        <f t="shared" si="15"/>
        <v>0.0014244311701397034</v>
      </c>
      <c r="BG30" s="90">
        <f t="shared" si="186"/>
        <v>1.0022624020073077</v>
      </c>
      <c r="BH30" s="90">
        <f t="shared" si="187"/>
        <v>0.3085634461038302</v>
      </c>
      <c r="BI30" s="70"/>
      <c r="BJ30" s="51">
        <f t="shared" si="16"/>
        <v>12.873735914423758</v>
      </c>
      <c r="BK30" s="51">
        <f t="shared" si="188"/>
        <v>14.456792949655638</v>
      </c>
      <c r="BL30" s="51">
        <f t="shared" si="17"/>
        <v>1283.3165996718826</v>
      </c>
      <c r="BM30" s="51">
        <f t="shared" si="18"/>
        <v>1278.8110545843783</v>
      </c>
      <c r="BN30" s="51">
        <f t="shared" si="189"/>
        <v>1278.8110545843783</v>
      </c>
      <c r="BO30" s="51"/>
      <c r="BP30" s="51">
        <f t="shared" si="19"/>
        <v>13.861203814696182</v>
      </c>
      <c r="BQ30" s="51">
        <f t="shared" si="20"/>
        <v>12.268837298925828</v>
      </c>
      <c r="BR30" s="51">
        <f t="shared" si="21"/>
        <v>13.665142002773157</v>
      </c>
      <c r="BS30" s="51">
        <f t="shared" si="22"/>
        <v>1287.389271057889</v>
      </c>
      <c r="BT30" s="71">
        <f t="shared" si="190"/>
        <v>0.2988955369037421</v>
      </c>
      <c r="BU30" s="70"/>
      <c r="BV30" s="51">
        <f t="shared" si="23"/>
        <v>13.219364093175278</v>
      </c>
      <c r="BW30" s="51">
        <f t="shared" si="24"/>
        <v>14.648782570831207</v>
      </c>
      <c r="BX30" s="51">
        <f t="shared" si="25"/>
        <v>1298.962426388298</v>
      </c>
      <c r="BY30" s="2"/>
      <c r="BZ30" s="1">
        <f t="shared" si="26"/>
        <v>0.8138565315731398</v>
      </c>
      <c r="CA30" s="1">
        <f t="shared" si="27"/>
        <v>0.017526552727381982</v>
      </c>
      <c r="CB30" s="1">
        <f t="shared" si="28"/>
        <v>0.34719157324859506</v>
      </c>
      <c r="CC30" s="1">
        <f t="shared" si="29"/>
        <v>0.1419695350080171</v>
      </c>
      <c r="CD30" s="1">
        <f t="shared" si="30"/>
        <v>0.0014096916299559472</v>
      </c>
      <c r="CE30" s="1">
        <f t="shared" si="31"/>
        <v>0.19675271186272467</v>
      </c>
      <c r="CF30" s="1">
        <f t="shared" si="32"/>
        <v>0.16281068665808332</v>
      </c>
      <c r="CG30" s="1">
        <f t="shared" si="33"/>
        <v>0.1326257807092414</v>
      </c>
      <c r="CH30" s="1">
        <f t="shared" si="34"/>
        <v>0.004458788058940932</v>
      </c>
      <c r="CI30" s="1">
        <f t="shared" si="35"/>
        <v>0</v>
      </c>
      <c r="CJ30" s="1">
        <f t="shared" si="36"/>
        <v>0</v>
      </c>
      <c r="CK30" s="1">
        <f t="shared" si="198"/>
        <v>1.81860185147608</v>
      </c>
      <c r="CM30" s="1">
        <f t="shared" si="38"/>
        <v>0.44751770757990145</v>
      </c>
      <c r="CN30" s="1">
        <f t="shared" si="39"/>
        <v>0.009637377589358793</v>
      </c>
      <c r="CO30" s="1">
        <f t="shared" si="40"/>
        <v>0.1909112612894322</v>
      </c>
      <c r="CP30" s="1">
        <f t="shared" si="41"/>
        <v>0.07806520976143656</v>
      </c>
      <c r="CQ30" s="1">
        <f t="shared" si="42"/>
        <v>0.0007751513223258637</v>
      </c>
      <c r="CR30" s="1">
        <f t="shared" si="43"/>
        <v>0.10818899788484712</v>
      </c>
      <c r="CS30" s="1">
        <f t="shared" si="44"/>
        <v>0.08952519570236717</v>
      </c>
      <c r="CT30" s="1">
        <f t="shared" si="45"/>
        <v>0.07292733184099356</v>
      </c>
      <c r="CU30" s="1">
        <f t="shared" si="46"/>
        <v>0.0024517670293373603</v>
      </c>
      <c r="CV30" s="1">
        <f t="shared" si="47"/>
        <v>0</v>
      </c>
      <c r="CW30" s="1">
        <f t="shared" si="48"/>
        <v>0</v>
      </c>
      <c r="CX30" s="1">
        <f t="shared" si="199"/>
        <v>1.0000000000000002</v>
      </c>
      <c r="CZ30" s="1">
        <f t="shared" si="50"/>
        <v>0.84048578413995</v>
      </c>
      <c r="DA30" s="1">
        <f t="shared" si="51"/>
        <v>0.008512897039014106</v>
      </c>
      <c r="DB30" s="1">
        <f t="shared" si="52"/>
        <v>0.08258059454105</v>
      </c>
      <c r="DC30" s="1">
        <f t="shared" si="53"/>
        <v>0.10661633707464814</v>
      </c>
      <c r="DD30" s="1">
        <f t="shared" si="54"/>
        <v>0.002537444933920705</v>
      </c>
      <c r="DE30" s="1">
        <f t="shared" si="55"/>
        <v>0.4788559065511458</v>
      </c>
      <c r="DF30" s="1">
        <f t="shared" si="56"/>
        <v>0.2246894470856352</v>
      </c>
      <c r="DG30" s="1">
        <f t="shared" si="57"/>
        <v>0.010810130544427216</v>
      </c>
      <c r="DH30" s="1">
        <f t="shared" si="58"/>
        <v>0</v>
      </c>
      <c r="DI30" s="1">
        <f t="shared" si="59"/>
        <v>0.0006579025277930924</v>
      </c>
      <c r="DJ30" s="1">
        <f t="shared" si="200"/>
        <v>1.7557464444375843</v>
      </c>
      <c r="DL30" s="1">
        <f t="shared" si="201"/>
        <v>1.6809715682799</v>
      </c>
      <c r="DM30" s="1">
        <f t="shared" si="201"/>
        <v>0.017025794078028213</v>
      </c>
      <c r="DN30" s="1">
        <f t="shared" si="202"/>
        <v>0.24774178362315002</v>
      </c>
      <c r="DO30" s="1">
        <f t="shared" si="203"/>
        <v>0.10661633707464814</v>
      </c>
      <c r="DP30" s="1">
        <f t="shared" si="203"/>
        <v>0.002537444933920705</v>
      </c>
      <c r="DQ30" s="1">
        <f t="shared" si="203"/>
        <v>0.4788559065511458</v>
      </c>
      <c r="DR30" s="1">
        <f t="shared" si="204"/>
        <v>0.2246894470856352</v>
      </c>
      <c r="DS30" s="1">
        <f t="shared" si="204"/>
        <v>0.010810130544427216</v>
      </c>
      <c r="DT30" s="1">
        <f t="shared" si="204"/>
        <v>0</v>
      </c>
      <c r="DU30" s="1">
        <f t="shared" si="205"/>
        <v>0.001973707583379277</v>
      </c>
      <c r="DV30" s="1">
        <f t="shared" si="206"/>
        <v>2.771222119754235</v>
      </c>
      <c r="DW30" s="1">
        <f t="shared" si="207"/>
        <v>2.1651097388512865</v>
      </c>
      <c r="DY30" s="1">
        <f t="shared" si="67"/>
        <v>1.819743956607466</v>
      </c>
      <c r="DZ30" s="1">
        <f t="shared" si="68"/>
        <v>0.01843135628500772</v>
      </c>
      <c r="EA30" s="1">
        <f t="shared" si="208"/>
        <v>0.18025604339253398</v>
      </c>
      <c r="EB30" s="1">
        <f t="shared" si="209"/>
        <v>0.17733605556937954</v>
      </c>
      <c r="EC30" s="1">
        <f t="shared" si="71"/>
        <v>0.3575920989619135</v>
      </c>
      <c r="ED30" s="1">
        <f t="shared" si="72"/>
        <v>0.23083606972097218</v>
      </c>
      <c r="EE30" s="1">
        <f t="shared" si="73"/>
        <v>0.0054938467382305775</v>
      </c>
      <c r="EF30" s="1">
        <f t="shared" si="74"/>
        <v>1.0367755867803474</v>
      </c>
      <c r="EG30" s="1">
        <f t="shared" si="75"/>
        <v>0.4864773101022196</v>
      </c>
      <c r="EH30" s="1">
        <f t="shared" si="76"/>
        <v>0.04681023783998625</v>
      </c>
      <c r="EI30" s="1">
        <f t="shared" si="77"/>
        <v>0</v>
      </c>
      <c r="EJ30" s="1">
        <f t="shared" si="78"/>
        <v>0.002848862340279407</v>
      </c>
      <c r="EK30" s="1">
        <f t="shared" si="210"/>
        <v>4.005009325376423</v>
      </c>
      <c r="EL30" s="1">
        <f t="shared" si="211"/>
        <v>0.010018650752845849</v>
      </c>
      <c r="EM30" s="1">
        <f t="shared" si="212"/>
        <v>0.01500917966312798</v>
      </c>
      <c r="EN30" s="1">
        <f t="shared" si="213"/>
        <v>0.04681023783998625</v>
      </c>
      <c r="EO30" s="1">
        <f t="shared" si="214"/>
        <v>0.13052581772939328</v>
      </c>
      <c r="EP30" s="1">
        <f t="shared" si="215"/>
        <v>0.02486511283157035</v>
      </c>
      <c r="EQ30" s="1">
        <f t="shared" si="216"/>
        <v>0.0014244311701397034</v>
      </c>
      <c r="ER30" s="2">
        <f t="shared" si="217"/>
        <v>0.3296619483711163</v>
      </c>
      <c r="ES30" s="1">
        <f t="shared" si="218"/>
        <v>0.46897485406510164</v>
      </c>
      <c r="ET30" s="1">
        <f t="shared" si="219"/>
        <v>1.0022624020073074</v>
      </c>
      <c r="EU30" s="1">
        <f t="shared" si="220"/>
        <v>0.3296619483711163</v>
      </c>
      <c r="EV30" s="1">
        <f t="shared" si="221"/>
        <v>2.8206633486955535</v>
      </c>
      <c r="EW30" s="1">
        <f t="shared" si="222"/>
        <v>-1.7716054546108129</v>
      </c>
      <c r="EX30" s="1">
        <f t="shared" si="223"/>
        <v>-1.7716054546108129</v>
      </c>
      <c r="EY30" s="1">
        <f t="shared" si="224"/>
        <v>0.5808674029545114</v>
      </c>
      <c r="EZ30" s="84">
        <f t="shared" si="191"/>
        <v>1561.788578811237</v>
      </c>
      <c r="FA30" s="84">
        <f t="shared" si="192"/>
        <v>13.542309136008578</v>
      </c>
      <c r="FB30" s="1">
        <f t="shared" si="193"/>
        <v>0.15617885788112368</v>
      </c>
      <c r="FC30" s="2">
        <f t="shared" si="94"/>
        <v>-0.40260935727171715</v>
      </c>
      <c r="FD30" s="2">
        <f t="shared" si="95"/>
        <v>5.645367474796248</v>
      </c>
      <c r="FE30" s="1">
        <f t="shared" si="96"/>
        <v>13.867683026992982</v>
      </c>
      <c r="FF30" s="1">
        <f t="shared" si="225"/>
        <v>0.3716778491802324</v>
      </c>
      <c r="FG30" s="2"/>
      <c r="FH30" s="2">
        <f t="shared" si="98"/>
        <v>17.08465592253432</v>
      </c>
      <c r="FI30" s="2">
        <f t="shared" si="99"/>
        <v>0.3002330853875272</v>
      </c>
      <c r="FJ30" s="2">
        <f t="shared" si="226"/>
        <v>0.3085634461038302</v>
      </c>
      <c r="FK30" s="1">
        <f t="shared" si="227"/>
        <v>0.5387813946804365</v>
      </c>
      <c r="FL30" s="1">
        <f t="shared" si="228"/>
        <v>0.2086349249475125</v>
      </c>
      <c r="FM30" s="1">
        <f t="shared" si="229"/>
        <v>0.11929724242172632</v>
      </c>
      <c r="FN30" s="1">
        <f t="shared" si="230"/>
        <v>0.8042325881456127</v>
      </c>
      <c r="FO30" s="1">
        <f t="shared" si="105"/>
        <v>0.45336041760286094</v>
      </c>
      <c r="FP30" s="1">
        <f t="shared" si="231"/>
        <v>0.22081741896812632</v>
      </c>
      <c r="FQ30" s="1">
        <f t="shared" si="232"/>
        <v>0.8807027575782737</v>
      </c>
      <c r="FR30" s="1">
        <f t="shared" si="108"/>
        <v>0.7506983850325339</v>
      </c>
      <c r="FS30" s="1">
        <f t="shared" si="233"/>
        <v>-0.10184510200674494</v>
      </c>
      <c r="FT30" s="1">
        <f t="shared" si="234"/>
        <v>0.09233344373811736</v>
      </c>
      <c r="FU30" s="1">
        <f t="shared" si="235"/>
        <v>0.09233344373811736</v>
      </c>
      <c r="FV30" s="1">
        <f t="shared" si="236"/>
        <v>0.12848397523000896</v>
      </c>
      <c r="FW30" s="1">
        <f t="shared" si="237"/>
        <v>0.36888516158144613</v>
      </c>
      <c r="FX30" s="1">
        <f t="shared" si="114"/>
        <v>0.6678904251989013</v>
      </c>
      <c r="FY30" s="1">
        <f t="shared" si="115"/>
        <v>0.4864773101022196</v>
      </c>
      <c r="FZ30" s="1">
        <f t="shared" si="116"/>
        <v>0.04681023783998625</v>
      </c>
      <c r="GA30" s="1">
        <f t="shared" si="117"/>
        <v>429.7898015267379</v>
      </c>
      <c r="GB30" s="1">
        <f t="shared" si="118"/>
        <v>11.661049917239293</v>
      </c>
      <c r="GC30" s="1">
        <f t="shared" si="119"/>
        <v>2.2370849319853656</v>
      </c>
      <c r="GD30" s="1">
        <f t="shared" si="238"/>
        <v>9.200011782789815E-06</v>
      </c>
      <c r="GE30" s="1">
        <f t="shared" si="239"/>
        <v>1901.4207673936808</v>
      </c>
      <c r="GF30" s="1">
        <f t="shared" si="122"/>
        <v>0.4160350854377249</v>
      </c>
      <c r="GG30" s="2">
        <f t="shared" si="123"/>
        <v>26.639767002773144</v>
      </c>
      <c r="GH30" s="4">
        <f t="shared" si="240"/>
        <v>15.09224432913392</v>
      </c>
      <c r="GI30" s="4">
        <f t="shared" si="241"/>
        <v>19.823729831284556</v>
      </c>
      <c r="GJ30" s="4">
        <f t="shared" si="126"/>
        <v>4.32</v>
      </c>
      <c r="GK30" s="4">
        <f t="shared" si="127"/>
        <v>4.3661141400000005</v>
      </c>
      <c r="GL30" s="4">
        <f t="shared" si="242"/>
        <v>15.09224432913392</v>
      </c>
      <c r="GM30" s="1">
        <f t="shared" si="243"/>
        <v>429.7898015267379</v>
      </c>
      <c r="GN30" s="1">
        <f t="shared" si="243"/>
        <v>11.661049917239293</v>
      </c>
      <c r="GO30" s="4">
        <f t="shared" si="244"/>
        <v>15.53998670959379</v>
      </c>
      <c r="GP30" s="4"/>
      <c r="GQ30" s="7">
        <f t="shared" si="131"/>
        <v>0.2263112657063569</v>
      </c>
      <c r="GR30" s="7">
        <f t="shared" si="245"/>
        <v>1.0367755867803474</v>
      </c>
      <c r="GS30" s="7">
        <f t="shared" si="246"/>
        <v>0.010018650752845849</v>
      </c>
      <c r="GT30" s="7">
        <f t="shared" si="134"/>
        <v>0.03679158708714041</v>
      </c>
      <c r="GU30" s="7">
        <f t="shared" si="135"/>
        <v>0</v>
      </c>
      <c r="GV30" s="7">
        <f t="shared" si="136"/>
        <v>0.03679158708714041</v>
      </c>
      <c r="GW30" s="7">
        <f t="shared" si="247"/>
        <v>0</v>
      </c>
      <c r="GX30" s="7">
        <f t="shared" si="138"/>
        <v>0.14054446848223912</v>
      </c>
      <c r="GY30" s="7">
        <f t="shared" si="139"/>
        <v>0.18025604339253395</v>
      </c>
      <c r="GZ30" s="7">
        <f t="shared" si="248"/>
        <v>0.17917316236868924</v>
      </c>
      <c r="HA30" s="7">
        <f t="shared" si="141"/>
        <v>0.25135463396876545</v>
      </c>
      <c r="HB30" s="7">
        <f t="shared" si="142"/>
        <v>0.0548666327409202</v>
      </c>
      <c r="HC30" s="7">
        <f t="shared" si="249"/>
        <v>0.383090106105754</v>
      </c>
      <c r="HD30" s="7">
        <f t="shared" si="250"/>
        <v>0.08362234595204025</v>
      </c>
      <c r="HE30" s="7">
        <f t="shared" si="251"/>
        <v>0.04681023783998625</v>
      </c>
      <c r="HF30" s="7"/>
      <c r="HG30" s="16">
        <f t="shared" si="252"/>
        <v>-8.304292998778747E-07</v>
      </c>
      <c r="HH30" s="16">
        <f t="shared" si="253"/>
        <v>1.1923189529287124E-12</v>
      </c>
      <c r="HI30" s="16">
        <f t="shared" si="254"/>
        <v>2.5606774957807393E-05</v>
      </c>
      <c r="HJ30" s="16">
        <f t="shared" si="255"/>
        <v>7.110847977792202E-09</v>
      </c>
      <c r="HK30" s="7">
        <f t="shared" si="256"/>
        <v>2.2370849319853656</v>
      </c>
      <c r="HL30" s="7">
        <f t="shared" si="151"/>
        <v>448.69264438536413</v>
      </c>
      <c r="HM30" s="7">
        <f t="shared" si="152"/>
        <v>9.744942857412035</v>
      </c>
      <c r="HN30" s="7">
        <f t="shared" si="153"/>
        <v>448.6920303806154</v>
      </c>
      <c r="HO30" s="7">
        <f t="shared" si="154"/>
        <v>11.465329987169008</v>
      </c>
      <c r="HP30" s="7">
        <f t="shared" si="155"/>
        <v>9.744942857412035</v>
      </c>
      <c r="HQ30" s="2">
        <f t="shared" si="257"/>
        <v>0.3716778491802324</v>
      </c>
      <c r="HR30" s="17">
        <f t="shared" si="157"/>
        <v>1270</v>
      </c>
      <c r="HS30" s="17"/>
      <c r="HT30" s="7">
        <f t="shared" si="258"/>
        <v>2.066435405864573</v>
      </c>
      <c r="HU30" s="17">
        <f t="shared" si="159"/>
        <v>1901.4207673936808</v>
      </c>
      <c r="HV30" s="16">
        <f t="shared" si="259"/>
        <v>1.2408317622946911E-05</v>
      </c>
      <c r="HW30" s="1">
        <f t="shared" si="161"/>
        <v>0.5646308389277342</v>
      </c>
      <c r="HX30" s="1">
        <f t="shared" si="260"/>
        <v>19841.76494429059</v>
      </c>
      <c r="HY30" s="16">
        <f t="shared" si="163"/>
        <v>441.8161448100224</v>
      </c>
      <c r="HZ30" s="1">
        <f t="shared" si="164"/>
        <v>-0.12105413570501235</v>
      </c>
      <c r="IA30" s="1">
        <f t="shared" si="165"/>
        <v>12.104626620462014</v>
      </c>
      <c r="IB30" s="4">
        <f t="shared" si="261"/>
        <v>19.84176494429059</v>
      </c>
      <c r="IC30" s="17">
        <f t="shared" si="262"/>
        <v>15092.244329133919</v>
      </c>
      <c r="ID30" s="16">
        <f t="shared" si="168"/>
        <v>443.42627139794575</v>
      </c>
      <c r="IE30" s="7">
        <f t="shared" si="169"/>
        <v>-0.09219196804713865</v>
      </c>
      <c r="IF30" s="7">
        <f t="shared" si="170"/>
        <v>12.133488788119887</v>
      </c>
      <c r="IG30" s="4">
        <f t="shared" si="171"/>
        <v>15.09224432913392</v>
      </c>
      <c r="IH30" s="17">
        <f t="shared" si="263"/>
        <v>19823.729831284556</v>
      </c>
      <c r="II30" s="4">
        <f t="shared" si="173"/>
        <v>441.8222151332659</v>
      </c>
      <c r="IJ30" s="7">
        <f t="shared" si="174"/>
        <v>-0.1209446745170547</v>
      </c>
      <c r="IK30" s="7">
        <f t="shared" si="175"/>
        <v>12.104736081649971</v>
      </c>
      <c r="IL30" s="4">
        <f t="shared" si="176"/>
        <v>19.823729831284556</v>
      </c>
      <c r="IN30" s="1">
        <f t="shared" si="177"/>
        <v>13.972117202481568</v>
      </c>
      <c r="IO30" s="1">
        <f t="shared" si="178"/>
        <v>14.432577624722825</v>
      </c>
    </row>
    <row r="31" spans="1:249" ht="12.75">
      <c r="A31" s="1" t="s">
        <v>200</v>
      </c>
      <c r="B31" s="85" t="s">
        <v>209</v>
      </c>
      <c r="C31" s="3">
        <v>1.3</v>
      </c>
      <c r="D31" s="3">
        <v>1290</v>
      </c>
      <c r="F31" s="1">
        <v>5207</v>
      </c>
      <c r="G31" s="33">
        <v>48</v>
      </c>
      <c r="H31" s="33">
        <v>1.42</v>
      </c>
      <c r="I31" s="33">
        <v>19.3</v>
      </c>
      <c r="J31" s="33">
        <v>10.3</v>
      </c>
      <c r="K31" s="33">
        <v>0.14</v>
      </c>
      <c r="L31" s="33">
        <v>6.28</v>
      </c>
      <c r="M31" s="33">
        <v>8.64</v>
      </c>
      <c r="N31" s="33">
        <v>5.27</v>
      </c>
      <c r="O31" s="33">
        <v>0.23</v>
      </c>
      <c r="P31" s="33">
        <v>0</v>
      </c>
      <c r="Q31" s="33">
        <v>0.26</v>
      </c>
      <c r="R31" s="33">
        <v>0</v>
      </c>
      <c r="S31" s="4">
        <f t="shared" si="2"/>
        <v>99.84</v>
      </c>
      <c r="U31" s="33">
        <v>50.2</v>
      </c>
      <c r="V31" s="33">
        <v>0.92</v>
      </c>
      <c r="W31" s="33">
        <v>8.55</v>
      </c>
      <c r="X31" s="33">
        <v>8.19</v>
      </c>
      <c r="Y31" s="33">
        <v>0.19</v>
      </c>
      <c r="Z31" s="33">
        <v>18.9</v>
      </c>
      <c r="AA31" s="33">
        <v>12.9</v>
      </c>
      <c r="AB31" s="33">
        <v>0.65</v>
      </c>
      <c r="AC31" s="33">
        <v>0</v>
      </c>
      <c r="AD31" s="33">
        <v>0.1</v>
      </c>
      <c r="AF31" s="53">
        <f t="shared" si="179"/>
        <v>1512.156381146026</v>
      </c>
      <c r="AG31" s="53">
        <f t="shared" si="194"/>
        <v>11.815927753673229</v>
      </c>
      <c r="AI31" s="51">
        <f t="shared" si="3"/>
        <v>1512.156381146026</v>
      </c>
      <c r="AJ31" s="51">
        <f aca="true" t="shared" si="264" ref="AJ31:AJ36">IF(AI31&gt;0,AI31-273.15,0)</f>
        <v>1239.006381146026</v>
      </c>
      <c r="AK31" s="51">
        <f t="shared" si="180"/>
        <v>1519.021863611313</v>
      </c>
      <c r="AL31" s="51">
        <f aca="true" t="shared" si="265" ref="AL31:AL36">IF(AK31&gt;0,AK31-273.15,0)</f>
        <v>1245.871863611313</v>
      </c>
      <c r="AM31" s="51">
        <f t="shared" si="6"/>
        <v>11.815927753673229</v>
      </c>
      <c r="AN31" s="51"/>
      <c r="AO31" s="51">
        <f t="shared" si="181"/>
        <v>1500.6252027917253</v>
      </c>
      <c r="AP31" s="51">
        <f t="shared" si="182"/>
        <v>11.412667037623224</v>
      </c>
      <c r="AQ31" s="51">
        <f t="shared" si="183"/>
        <v>1227.4752027917252</v>
      </c>
      <c r="AR31" s="70"/>
      <c r="AS31" s="90">
        <f t="shared" si="7"/>
        <v>0.3235254271365482</v>
      </c>
      <c r="AT31" s="90">
        <f t="shared" si="8"/>
        <v>0.3953952317703185</v>
      </c>
      <c r="AU31" s="90">
        <f t="shared" si="9"/>
        <v>0.06228152271748285</v>
      </c>
      <c r="AV31" s="90">
        <f t="shared" si="10"/>
        <v>0.024844390396466683</v>
      </c>
      <c r="AW31" s="90">
        <f t="shared" si="11"/>
        <v>0.030272626654487662</v>
      </c>
      <c r="AX31" s="90">
        <f t="shared" si="184"/>
        <v>0</v>
      </c>
      <c r="AY31" s="51">
        <f t="shared" si="185"/>
        <v>0.8363191986753039</v>
      </c>
      <c r="AZ31" s="70"/>
      <c r="BA31" s="90">
        <f t="shared" si="12"/>
        <v>0.3374849499814114</v>
      </c>
      <c r="BB31" s="90">
        <f t="shared" si="0"/>
        <v>0.4617437884296315</v>
      </c>
      <c r="BC31" s="90">
        <f t="shared" si="1"/>
        <v>0.12474113636873216</v>
      </c>
      <c r="BD31" s="90">
        <f t="shared" si="13"/>
        <v>0.04537250075424157</v>
      </c>
      <c r="BE31" s="90">
        <f t="shared" si="14"/>
        <v>0.03396759024629177</v>
      </c>
      <c r="BF31" s="90">
        <f t="shared" si="15"/>
        <v>0.0014231634559827594</v>
      </c>
      <c r="BG31" s="90">
        <f t="shared" si="186"/>
        <v>1.004733129236291</v>
      </c>
      <c r="BH31" s="90">
        <f t="shared" si="187"/>
        <v>0.2642071197411002</v>
      </c>
      <c r="BI31" s="70"/>
      <c r="BJ31" s="51">
        <f t="shared" si="16"/>
        <v>11.334487013637668</v>
      </c>
      <c r="BK31" s="51">
        <f t="shared" si="188"/>
        <v>11.925933315540503</v>
      </c>
      <c r="BL31" s="51">
        <f t="shared" si="17"/>
        <v>1243.62309589073</v>
      </c>
      <c r="BM31" s="51">
        <f t="shared" si="18"/>
        <v>1236.5883402125187</v>
      </c>
      <c r="BN31" s="51">
        <f t="shared" si="189"/>
        <v>1236.5883402125187</v>
      </c>
      <c r="BO31" s="51"/>
      <c r="BP31" s="51">
        <f t="shared" si="19"/>
        <v>11.465308277441181</v>
      </c>
      <c r="BQ31" s="51">
        <f t="shared" si="20"/>
        <v>9.771923026249665</v>
      </c>
      <c r="BR31" s="51">
        <f t="shared" si="21"/>
        <v>11.242610505883059</v>
      </c>
      <c r="BS31" s="51">
        <f t="shared" si="22"/>
        <v>1262.7539577841471</v>
      </c>
      <c r="BT31" s="71">
        <f t="shared" si="190"/>
        <v>0.28829033823776157</v>
      </c>
      <c r="BU31" s="70"/>
      <c r="BV31" s="51">
        <f t="shared" si="23"/>
        <v>12.484810344237511</v>
      </c>
      <c r="BW31" s="51">
        <f t="shared" si="24"/>
        <v>13.793143506576298</v>
      </c>
      <c r="BX31" s="51">
        <f t="shared" si="25"/>
        <v>1273.237343614138</v>
      </c>
      <c r="BY31" s="2"/>
      <c r="BZ31" s="1">
        <f t="shared" si="26"/>
        <v>0.798877577004309</v>
      </c>
      <c r="CA31" s="1">
        <f t="shared" si="27"/>
        <v>0.01777693205205887</v>
      </c>
      <c r="CB31" s="1">
        <f t="shared" si="28"/>
        <v>0.37857612224281834</v>
      </c>
      <c r="CC31" s="1">
        <f t="shared" si="29"/>
        <v>0.14336139319437022</v>
      </c>
      <c r="CD31" s="1">
        <f t="shared" si="30"/>
        <v>0.001973568281938326</v>
      </c>
      <c r="CE31" s="1">
        <f t="shared" si="31"/>
        <v>0.15581425353063189</v>
      </c>
      <c r="CF31" s="1">
        <f t="shared" si="32"/>
        <v>0.15407276371586417</v>
      </c>
      <c r="CG31" s="1">
        <f t="shared" si="33"/>
        <v>0.17005787453472065</v>
      </c>
      <c r="CH31" s="1">
        <f t="shared" si="34"/>
        <v>0.00488343454074483</v>
      </c>
      <c r="CI31" s="1">
        <f t="shared" si="35"/>
        <v>0</v>
      </c>
      <c r="CJ31" s="1">
        <f t="shared" si="36"/>
        <v>0.003663597229756864</v>
      </c>
      <c r="CK31" s="1">
        <f aca="true" t="shared" si="266" ref="CK31:CK36">SUM(BZ31:CJ31)</f>
        <v>1.8290575163272136</v>
      </c>
      <c r="CM31" s="1">
        <f t="shared" si="38"/>
        <v>0.4367700686681915</v>
      </c>
      <c r="CN31" s="1">
        <f t="shared" si="39"/>
        <v>0.009719176074766269</v>
      </c>
      <c r="CO31" s="1">
        <f t="shared" si="40"/>
        <v>0.2069787958352492</v>
      </c>
      <c r="CP31" s="1">
        <f t="shared" si="41"/>
        <v>0.07837992622683783</v>
      </c>
      <c r="CQ31" s="1">
        <f t="shared" si="42"/>
        <v>0.0010790083222212133</v>
      </c>
      <c r="CR31" s="1">
        <f t="shared" si="43"/>
        <v>0.0851882743652098</v>
      </c>
      <c r="CS31" s="1">
        <f t="shared" si="44"/>
        <v>0.08423615022519662</v>
      </c>
      <c r="CT31" s="1">
        <f t="shared" si="45"/>
        <v>0.09297568448049709</v>
      </c>
      <c r="CU31" s="1">
        <f t="shared" si="46"/>
        <v>0.0026699185220543913</v>
      </c>
      <c r="CV31" s="1">
        <f t="shared" si="47"/>
        <v>0</v>
      </c>
      <c r="CW31" s="1">
        <f t="shared" si="48"/>
        <v>0.0020029972797757857</v>
      </c>
      <c r="CX31" s="1">
        <f aca="true" t="shared" si="267" ref="CX31:CX36">SUM(CM31:CW31)</f>
        <v>0.9999999999999997</v>
      </c>
      <c r="CZ31" s="1">
        <f t="shared" si="50"/>
        <v>0.8354927992836731</v>
      </c>
      <c r="DA31" s="1">
        <f t="shared" si="51"/>
        <v>0.011517448935136733</v>
      </c>
      <c r="DB31" s="1">
        <f t="shared" si="52"/>
        <v>0.08385559184394034</v>
      </c>
      <c r="DC31" s="1">
        <f t="shared" si="53"/>
        <v>0.11399318546231961</v>
      </c>
      <c r="DD31" s="1">
        <f t="shared" si="54"/>
        <v>0.0026784140969162997</v>
      </c>
      <c r="DE31" s="1">
        <f t="shared" si="55"/>
        <v>0.46893143180397173</v>
      </c>
      <c r="DF31" s="1">
        <f t="shared" si="56"/>
        <v>0.2300391958257694</v>
      </c>
      <c r="DG31" s="1">
        <f t="shared" si="57"/>
        <v>0.010487440080414464</v>
      </c>
      <c r="DH31" s="1">
        <f t="shared" si="58"/>
        <v>0</v>
      </c>
      <c r="DI31" s="1">
        <f t="shared" si="59"/>
        <v>0.0006579025277930924</v>
      </c>
      <c r="DJ31" s="1">
        <f aca="true" t="shared" si="268" ref="DJ31:DJ36">SUM(CZ31:DI31)</f>
        <v>1.7576534098599348</v>
      </c>
      <c r="DL31" s="1">
        <f t="shared" si="201"/>
        <v>1.6709855985673463</v>
      </c>
      <c r="DM31" s="1">
        <f t="shared" si="201"/>
        <v>0.023034897870273466</v>
      </c>
      <c r="DN31" s="1">
        <f aca="true" t="shared" si="269" ref="DN31:DN36">DB31*3</f>
        <v>0.25156677553182105</v>
      </c>
      <c r="DO31" s="1">
        <f t="shared" si="203"/>
        <v>0.11399318546231961</v>
      </c>
      <c r="DP31" s="1">
        <f t="shared" si="203"/>
        <v>0.0026784140969162997</v>
      </c>
      <c r="DQ31" s="1">
        <f t="shared" si="203"/>
        <v>0.46893143180397173</v>
      </c>
      <c r="DR31" s="1">
        <f t="shared" si="204"/>
        <v>0.2300391958257694</v>
      </c>
      <c r="DS31" s="1">
        <f t="shared" si="204"/>
        <v>0.010487440080414464</v>
      </c>
      <c r="DT31" s="1">
        <f t="shared" si="204"/>
        <v>0</v>
      </c>
      <c r="DU31" s="1">
        <f aca="true" t="shared" si="270" ref="DU31:DU36">DI31*3</f>
        <v>0.001973707583379277</v>
      </c>
      <c r="DV31" s="1">
        <f aca="true" t="shared" si="271" ref="DV31:DV36">SUM(DL31:DU31)</f>
        <v>2.7736906468222116</v>
      </c>
      <c r="DW31" s="1">
        <f aca="true" t="shared" si="272" ref="DW31:DW36">6/DV31</f>
        <v>2.1631828361515866</v>
      </c>
      <c r="DY31" s="1">
        <f t="shared" si="67"/>
        <v>1.8073236831386843</v>
      </c>
      <c r="DZ31" s="1">
        <f t="shared" si="68"/>
        <v>0.02491434785274015</v>
      </c>
      <c r="EA31" s="1">
        <f aca="true" t="shared" si="273" ref="EA31:EA36">2-DY31</f>
        <v>0.1926763168613157</v>
      </c>
      <c r="EB31" s="1">
        <f t="shared" si="209"/>
        <v>0.17011363712297373</v>
      </c>
      <c r="EC31" s="1">
        <f t="shared" si="71"/>
        <v>0.3627899539842894</v>
      </c>
      <c r="ED31" s="1">
        <f t="shared" si="72"/>
        <v>0.24658810223033434</v>
      </c>
      <c r="EE31" s="1">
        <f t="shared" si="73"/>
        <v>0.005793899402555792</v>
      </c>
      <c r="EF31" s="1">
        <f t="shared" si="74"/>
        <v>1.01438442461034</v>
      </c>
      <c r="EG31" s="1">
        <f t="shared" si="75"/>
        <v>0.4976168400524181</v>
      </c>
      <c r="EH31" s="1">
        <f t="shared" si="76"/>
        <v>0.04537250075424157</v>
      </c>
      <c r="EI31" s="1">
        <f t="shared" si="77"/>
        <v>0</v>
      </c>
      <c r="EJ31" s="1">
        <f t="shared" si="78"/>
        <v>0.002846326911965519</v>
      </c>
      <c r="EK31" s="1">
        <f t="shared" si="210"/>
        <v>4.007630078937569</v>
      </c>
      <c r="EL31" s="1">
        <f t="shared" si="211"/>
        <v>0.015260157875137724</v>
      </c>
      <c r="EM31" s="1">
        <f t="shared" si="212"/>
        <v>0.022846656364826856</v>
      </c>
      <c r="EN31" s="1">
        <f aca="true" t="shared" si="274" ref="EN31:EN36">IF(EH31&lt;EB31,EH31,EB31)</f>
        <v>0.04537250075424157</v>
      </c>
      <c r="EO31" s="1">
        <f aca="true" t="shared" si="275" ref="EO31:EO36">IF(EB31&gt;EH31,EB31-EH31,0)</f>
        <v>0.12474113636873216</v>
      </c>
      <c r="EP31" s="1">
        <f aca="true" t="shared" si="276" ref="EP31:EP36">IF(EA31&gt;EO31,(EA31-EO31)/2,0)</f>
        <v>0.03396759024629177</v>
      </c>
      <c r="EQ31" s="1">
        <f aca="true" t="shared" si="277" ref="EQ31:EQ36">EJ31/2</f>
        <v>0.0014231634559827594</v>
      </c>
      <c r="ER31" s="2">
        <f t="shared" si="217"/>
        <v>0.3374849499814114</v>
      </c>
      <c r="ES31" s="1">
        <f aca="true" t="shared" si="278" ref="ES31:ES36">((ED31+EF31)-ER31)/2</f>
        <v>0.4617437884296315</v>
      </c>
      <c r="ET31" s="1">
        <f aca="true" t="shared" si="279" ref="ET31:ET36">SUM(EN31:ES31)</f>
        <v>1.004733129236291</v>
      </c>
      <c r="EU31" s="1">
        <f aca="true" t="shared" si="280" ref="EU31:EU36">EG31-EO31-EP31-EQ31</f>
        <v>0.33748494998141143</v>
      </c>
      <c r="EV31" s="1">
        <f aca="true" t="shared" si="281" ref="EV31:EV36">LN(EN31/(CM31^2*CT31*CO31))</f>
        <v>2.514403898066705</v>
      </c>
      <c r="EW31" s="1">
        <f aca="true" t="shared" si="282" ref="EW31:EW36">LN(EN31*CS31*(CP31+CR31)/(ER31*CT31*CO31))</f>
        <v>-2.340714860540065</v>
      </c>
      <c r="EX31" s="1">
        <f aca="true" t="shared" si="283" ref="EX31:EX36">LN((EN31*CS31*(CP31+CR31))/(CT31*CO31*EU31))</f>
        <v>-2.340714860540065</v>
      </c>
      <c r="EY31" s="1">
        <f aca="true" t="shared" si="284" ref="EY31:EY36">CR31/(CR31+CP31)</f>
        <v>0.5208119552386363</v>
      </c>
      <c r="EZ31" s="84">
        <f t="shared" si="191"/>
        <v>1512.156381146026</v>
      </c>
      <c r="FA31" s="84">
        <f t="shared" si="192"/>
        <v>11.815927753673229</v>
      </c>
      <c r="FB31" s="1">
        <f t="shared" si="193"/>
        <v>0.1512156381146026</v>
      </c>
      <c r="FC31" s="2">
        <f t="shared" si="94"/>
        <v>-0.7309721289722195</v>
      </c>
      <c r="FD31" s="2">
        <f t="shared" si="95"/>
        <v>5.6188345706356895</v>
      </c>
      <c r="FE31" s="1">
        <f t="shared" si="96"/>
        <v>13.190998626965461</v>
      </c>
      <c r="FF31" s="1">
        <f t="shared" si="225"/>
        <v>0.3630929620751677</v>
      </c>
      <c r="FG31" s="2"/>
      <c r="FH31" s="2">
        <f t="shared" si="98"/>
        <v>16.444289123402545</v>
      </c>
      <c r="FI31" s="2">
        <f t="shared" si="99"/>
        <v>0.2991822008616515</v>
      </c>
      <c r="FJ31" s="2">
        <f t="shared" si="226"/>
        <v>0.2642071197411002</v>
      </c>
      <c r="FK31" s="1">
        <f t="shared" si="227"/>
        <v>0.5487832402092154</v>
      </c>
      <c r="FL31" s="1">
        <f t="shared" si="228"/>
        <v>0.21313446976281714</v>
      </c>
      <c r="FM31" s="1">
        <f t="shared" si="229"/>
        <v>0.11977076679954611</v>
      </c>
      <c r="FN31" s="1">
        <f t="shared" si="230"/>
        <v>0.8049720150242861</v>
      </c>
      <c r="FO31" s="1">
        <f t="shared" si="105"/>
        <v>0.44074035394125044</v>
      </c>
      <c r="FP31" s="1">
        <f t="shared" si="231"/>
        <v>0.2313279443551966</v>
      </c>
      <c r="FQ31" s="1">
        <f t="shared" si="232"/>
        <v>0.8802292332004539</v>
      </c>
      <c r="FR31" s="1">
        <f t="shared" si="108"/>
        <v>0.7499957271981291</v>
      </c>
      <c r="FS31" s="1">
        <f t="shared" si="233"/>
        <v>-0.10437904550101472</v>
      </c>
      <c r="FT31" s="1">
        <f t="shared" si="234"/>
        <v>0.09434789148729475</v>
      </c>
      <c r="FU31" s="1">
        <f t="shared" si="235"/>
        <v>0.09434789148729475</v>
      </c>
      <c r="FV31" s="1">
        <f t="shared" si="236"/>
        <v>0.13698005286790185</v>
      </c>
      <c r="FW31" s="1">
        <f t="shared" si="237"/>
        <v>0.35686886830348985</v>
      </c>
      <c r="FX31" s="1">
        <f t="shared" si="114"/>
        <v>0.6575155563068501</v>
      </c>
      <c r="FY31" s="1">
        <f t="shared" si="115"/>
        <v>0.4976168400524181</v>
      </c>
      <c r="FZ31" s="1">
        <f t="shared" si="116"/>
        <v>0.04537250075424157</v>
      </c>
      <c r="GA31" s="1">
        <f t="shared" si="117"/>
        <v>430.50238502430375</v>
      </c>
      <c r="GB31" s="1">
        <f t="shared" si="118"/>
        <v>11.655847236135873</v>
      </c>
      <c r="GC31" s="1">
        <f t="shared" si="119"/>
        <v>2.2533089754906954</v>
      </c>
      <c r="GD31" s="1">
        <f t="shared" si="238"/>
        <v>9.266733161705484E-06</v>
      </c>
      <c r="GE31" s="1">
        <f t="shared" si="239"/>
        <v>1916.0209280972267</v>
      </c>
      <c r="GF31" s="1">
        <f t="shared" si="122"/>
        <v>0.4172407260421993</v>
      </c>
      <c r="GG31" s="2">
        <f t="shared" si="123"/>
        <v>24.217235505883064</v>
      </c>
      <c r="GH31" s="4">
        <f t="shared" si="240"/>
        <v>14.233477755463648</v>
      </c>
      <c r="GI31" s="4">
        <f t="shared" si="241"/>
        <v>18.737437870743566</v>
      </c>
      <c r="GJ31" s="4">
        <f t="shared" si="126"/>
        <v>5.5</v>
      </c>
      <c r="GK31" s="4">
        <f t="shared" si="127"/>
        <v>4.015919999999994</v>
      </c>
      <c r="GL31" s="4">
        <f t="shared" si="242"/>
        <v>18.737437870743566</v>
      </c>
      <c r="GM31" s="1">
        <f t="shared" si="243"/>
        <v>430.50238502430375</v>
      </c>
      <c r="GN31" s="1">
        <f t="shared" si="243"/>
        <v>11.655847236135873</v>
      </c>
      <c r="GO31" s="4">
        <f t="shared" si="244"/>
        <v>14.680814611559526</v>
      </c>
      <c r="GP31" s="4"/>
      <c r="GQ31" s="7">
        <f t="shared" si="131"/>
        <v>0.2371218437577524</v>
      </c>
      <c r="GR31" s="7">
        <f t="shared" si="245"/>
        <v>1.01438442461034</v>
      </c>
      <c r="GS31" s="7">
        <f t="shared" si="246"/>
        <v>0.015260157875137724</v>
      </c>
      <c r="GT31" s="7">
        <f t="shared" si="134"/>
        <v>0.030112342879103846</v>
      </c>
      <c r="GU31" s="7">
        <f t="shared" si="135"/>
        <v>0</v>
      </c>
      <c r="GV31" s="7">
        <f t="shared" si="136"/>
        <v>0.030112342879103846</v>
      </c>
      <c r="GW31" s="7">
        <f t="shared" si="247"/>
        <v>0</v>
      </c>
      <c r="GX31" s="7">
        <f t="shared" si="138"/>
        <v>0.14000129424386987</v>
      </c>
      <c r="GY31" s="7">
        <f t="shared" si="139"/>
        <v>0.19267631686131567</v>
      </c>
      <c r="GZ31" s="7">
        <f t="shared" si="248"/>
        <v>0.18946916188198445</v>
      </c>
      <c r="HA31" s="7">
        <f t="shared" si="141"/>
        <v>0.2471636978382304</v>
      </c>
      <c r="HB31" s="7">
        <f t="shared" si="142"/>
        <v>0.05777682535287202</v>
      </c>
      <c r="HC31" s="7">
        <f t="shared" si="249"/>
        <v>0.3704212326248449</v>
      </c>
      <c r="HD31" s="7">
        <f t="shared" si="250"/>
        <v>0.08658942656849543</v>
      </c>
      <c r="HE31" s="7">
        <f t="shared" si="251"/>
        <v>0.04537250075424157</v>
      </c>
      <c r="HF31" s="7"/>
      <c r="HG31" s="16">
        <f t="shared" si="252"/>
        <v>-8.323261827589311E-07</v>
      </c>
      <c r="HH31" s="16">
        <f t="shared" si="253"/>
        <v>1.2083571684689907E-12</v>
      </c>
      <c r="HI31" s="16">
        <f t="shared" si="254"/>
        <v>2.559609989463933E-05</v>
      </c>
      <c r="HJ31" s="16">
        <f t="shared" si="255"/>
        <v>7.090060862855136E-09</v>
      </c>
      <c r="HK31" s="7">
        <f t="shared" si="256"/>
        <v>2.2533089754906954</v>
      </c>
      <c r="HL31" s="7">
        <f t="shared" si="151"/>
        <v>449.3227111287905</v>
      </c>
      <c r="HM31" s="7">
        <f t="shared" si="152"/>
        <v>9.174344338967465</v>
      </c>
      <c r="HN31" s="7">
        <f t="shared" si="153"/>
        <v>449.3221210325466</v>
      </c>
      <c r="HO31" s="7">
        <f t="shared" si="154"/>
        <v>10.821240958236674</v>
      </c>
      <c r="HP31" s="7">
        <f t="shared" si="155"/>
        <v>10.821240958236674</v>
      </c>
      <c r="HQ31" s="2">
        <f t="shared" si="257"/>
        <v>0.3630929620751677</v>
      </c>
      <c r="HR31" s="17">
        <f t="shared" si="157"/>
        <v>1265</v>
      </c>
      <c r="HS31" s="17"/>
      <c r="HT31" s="7">
        <f t="shared" si="258"/>
        <v>2.06614400369597</v>
      </c>
      <c r="HU31" s="17">
        <f t="shared" si="159"/>
        <v>1916.0209280972267</v>
      </c>
      <c r="HV31" s="16">
        <f t="shared" si="259"/>
        <v>1.2319355784392687E-05</v>
      </c>
      <c r="HW31" s="1">
        <f t="shared" si="161"/>
        <v>0.5579769034186268</v>
      </c>
      <c r="HX31" s="1">
        <f t="shared" si="260"/>
        <v>18705.217890503747</v>
      </c>
      <c r="HY31" s="16">
        <f t="shared" si="163"/>
        <v>442.8055846835478</v>
      </c>
      <c r="HZ31" s="1">
        <f t="shared" si="164"/>
        <v>-0.11323785128222423</v>
      </c>
      <c r="IA31" s="1">
        <f t="shared" si="165"/>
        <v>12.100586288272275</v>
      </c>
      <c r="IB31" s="4">
        <f t="shared" si="261"/>
        <v>18.705217890503747</v>
      </c>
      <c r="IC31" s="17">
        <f t="shared" si="262"/>
        <v>14233.477755463648</v>
      </c>
      <c r="ID31" s="16">
        <f t="shared" si="168"/>
        <v>444.33126942157116</v>
      </c>
      <c r="IE31" s="7">
        <f t="shared" si="169"/>
        <v>-0.08626696112586979</v>
      </c>
      <c r="IF31" s="7">
        <f t="shared" si="170"/>
        <v>12.12755717842863</v>
      </c>
      <c r="IG31" s="4">
        <f t="shared" si="171"/>
        <v>14.233477755463648</v>
      </c>
      <c r="IH31" s="17">
        <f t="shared" si="263"/>
        <v>18737.437870743564</v>
      </c>
      <c r="II31" s="4">
        <f t="shared" si="173"/>
        <v>442.7946672424643</v>
      </c>
      <c r="IJ31" s="7">
        <f t="shared" si="174"/>
        <v>-0.11343195584050844</v>
      </c>
      <c r="IK31" s="7">
        <f t="shared" si="175"/>
        <v>12.100392183713991</v>
      </c>
      <c r="IL31" s="4">
        <f t="shared" si="176"/>
        <v>18.737437870743566</v>
      </c>
      <c r="IN31" s="1">
        <f t="shared" si="177"/>
        <v>13.669222420941018</v>
      </c>
      <c r="IO31" s="1">
        <f t="shared" si="178"/>
        <v>14.217460001591334</v>
      </c>
    </row>
    <row r="32" spans="1:249" ht="12.75">
      <c r="A32" s="1" t="s">
        <v>200</v>
      </c>
      <c r="B32" s="85" t="s">
        <v>210</v>
      </c>
      <c r="C32" s="3">
        <v>1.3</v>
      </c>
      <c r="D32" s="3">
        <v>1280</v>
      </c>
      <c r="F32" s="1">
        <v>5208</v>
      </c>
      <c r="G32" s="33">
        <v>47.8</v>
      </c>
      <c r="H32" s="33">
        <v>1.65</v>
      </c>
      <c r="I32" s="33">
        <v>19.1</v>
      </c>
      <c r="J32" s="33">
        <v>11</v>
      </c>
      <c r="K32" s="33">
        <v>0.16</v>
      </c>
      <c r="L32" s="33">
        <v>6.1</v>
      </c>
      <c r="M32" s="33">
        <v>8.64</v>
      </c>
      <c r="N32" s="33">
        <v>4.98</v>
      </c>
      <c r="O32" s="33">
        <v>0.27</v>
      </c>
      <c r="P32" s="33">
        <v>0.04</v>
      </c>
      <c r="Q32" s="33">
        <v>0.28</v>
      </c>
      <c r="R32" s="33">
        <v>0</v>
      </c>
      <c r="S32" s="4">
        <f t="shared" si="2"/>
        <v>100.02</v>
      </c>
      <c r="U32" s="33">
        <v>51.1</v>
      </c>
      <c r="V32" s="33">
        <v>0.72</v>
      </c>
      <c r="W32" s="33">
        <v>7.03</v>
      </c>
      <c r="X32" s="33">
        <v>7.83</v>
      </c>
      <c r="Y32" s="33">
        <v>0.17</v>
      </c>
      <c r="Z32" s="33">
        <v>19.7</v>
      </c>
      <c r="AA32" s="33">
        <v>13.3</v>
      </c>
      <c r="AB32" s="33">
        <v>0.59</v>
      </c>
      <c r="AC32" s="33">
        <v>0</v>
      </c>
      <c r="AD32" s="33">
        <v>0.13</v>
      </c>
      <c r="AF32" s="53">
        <f t="shared" si="179"/>
        <v>1494.5816696973302</v>
      </c>
      <c r="AG32" s="53">
        <f t="shared" si="194"/>
        <v>10.521561924044587</v>
      </c>
      <c r="AI32" s="51">
        <f t="shared" si="3"/>
        <v>1494.5816696973302</v>
      </c>
      <c r="AJ32" s="51">
        <f t="shared" si="264"/>
        <v>1221.43166969733</v>
      </c>
      <c r="AK32" s="51">
        <f t="shared" si="180"/>
        <v>1500.99943524058</v>
      </c>
      <c r="AL32" s="51">
        <f t="shared" si="265"/>
        <v>1227.84943524058</v>
      </c>
      <c r="AM32" s="51">
        <f t="shared" si="6"/>
        <v>10.521561924044587</v>
      </c>
      <c r="AN32" s="51"/>
      <c r="AO32" s="51">
        <f t="shared" si="181"/>
        <v>1480.61370065849</v>
      </c>
      <c r="AP32" s="51">
        <f t="shared" si="182"/>
        <v>10.553492976470537</v>
      </c>
      <c r="AQ32" s="51">
        <f t="shared" si="183"/>
        <v>1207.4637006584899</v>
      </c>
      <c r="AR32" s="70"/>
      <c r="AS32" s="90">
        <f t="shared" si="7"/>
        <v>0.3407873679589265</v>
      </c>
      <c r="AT32" s="90">
        <f t="shared" si="8"/>
        <v>0.3802019975589971</v>
      </c>
      <c r="AU32" s="90">
        <f t="shared" si="9"/>
        <v>0.05605297959351593</v>
      </c>
      <c r="AV32" s="90">
        <f t="shared" si="10"/>
        <v>0.023498839183659064</v>
      </c>
      <c r="AW32" s="90">
        <f t="shared" si="11"/>
        <v>0.031916692551915204</v>
      </c>
      <c r="AX32" s="90">
        <f t="shared" si="184"/>
        <v>0.0011146887362229994</v>
      </c>
      <c r="AY32" s="51">
        <f t="shared" si="185"/>
        <v>0.8335725655832368</v>
      </c>
      <c r="AZ32" s="70"/>
      <c r="BA32" s="90">
        <f t="shared" si="12"/>
        <v>0.3824294329929335</v>
      </c>
      <c r="BB32" s="90">
        <f t="shared" si="0"/>
        <v>0.45496155026025403</v>
      </c>
      <c r="BC32" s="90">
        <f t="shared" si="1"/>
        <v>0.09567151070156554</v>
      </c>
      <c r="BD32" s="90">
        <f t="shared" si="13"/>
        <v>0.04116140599981716</v>
      </c>
      <c r="BE32" s="90">
        <f t="shared" si="14"/>
        <v>0.03281196673910425</v>
      </c>
      <c r="BF32" s="90">
        <f t="shared" si="15"/>
        <v>0.0018490853817976125</v>
      </c>
      <c r="BG32" s="90">
        <f t="shared" si="186"/>
        <v>1.0088849520754721</v>
      </c>
      <c r="BH32" s="90">
        <f t="shared" si="187"/>
        <v>0.22041070604522378</v>
      </c>
      <c r="BI32" s="70"/>
      <c r="BJ32" s="51">
        <f t="shared" si="16"/>
        <v>9.916252379059603</v>
      </c>
      <c r="BK32" s="51">
        <f t="shared" si="188"/>
        <v>10.575066156100254</v>
      </c>
      <c r="BL32" s="51">
        <f t="shared" si="17"/>
        <v>1224.667872012095</v>
      </c>
      <c r="BM32" s="51">
        <f t="shared" si="18"/>
        <v>1222.4930781204862</v>
      </c>
      <c r="BN32" s="51">
        <f t="shared" si="189"/>
        <v>1222.4930781204862</v>
      </c>
      <c r="BO32" s="51"/>
      <c r="BP32" s="51">
        <f t="shared" si="19"/>
        <v>10.830682382226314</v>
      </c>
      <c r="BQ32" s="51">
        <f t="shared" si="20"/>
        <v>8.975391474351015</v>
      </c>
      <c r="BR32" s="51">
        <f t="shared" si="21"/>
        <v>9.465051645129055</v>
      </c>
      <c r="BS32" s="51">
        <f t="shared" si="22"/>
        <v>1258.402123031376</v>
      </c>
      <c r="BT32" s="71">
        <f t="shared" si="190"/>
        <v>0.2844622816959268</v>
      </c>
      <c r="BU32" s="70"/>
      <c r="BV32" s="51">
        <f t="shared" si="23"/>
        <v>10.566965412794108</v>
      </c>
      <c r="BW32" s="51">
        <f t="shared" si="24"/>
        <v>11.756748644295268</v>
      </c>
      <c r="BX32" s="51">
        <f t="shared" si="25"/>
        <v>1277.3376239214367</v>
      </c>
      <c r="BY32" s="2"/>
      <c r="BZ32" s="1">
        <f t="shared" si="26"/>
        <v>0.7955489204334576</v>
      </c>
      <c r="CA32" s="1">
        <f t="shared" si="27"/>
        <v>0.020656294285843053</v>
      </c>
      <c r="CB32" s="1">
        <f t="shared" si="28"/>
        <v>0.37465305361854045</v>
      </c>
      <c r="CC32" s="1">
        <f t="shared" si="29"/>
        <v>0.15310440049884197</v>
      </c>
      <c r="CD32" s="1">
        <f t="shared" si="30"/>
        <v>0.0022555066079295153</v>
      </c>
      <c r="CE32" s="1">
        <f t="shared" si="31"/>
        <v>0.15134823989440357</v>
      </c>
      <c r="CF32" s="1">
        <f t="shared" si="32"/>
        <v>0.15407276371586417</v>
      </c>
      <c r="CG32" s="1">
        <f t="shared" si="33"/>
        <v>0.16069985107835086</v>
      </c>
      <c r="CH32" s="1">
        <f t="shared" si="34"/>
        <v>0.005732727504352627</v>
      </c>
      <c r="CI32" s="1">
        <f t="shared" si="35"/>
        <v>0.0005263220222344739</v>
      </c>
      <c r="CJ32" s="1">
        <f t="shared" si="36"/>
        <v>0.003945412401276623</v>
      </c>
      <c r="CK32" s="1">
        <f t="shared" si="266"/>
        <v>1.8225434920610946</v>
      </c>
      <c r="CM32" s="1">
        <f t="shared" si="38"/>
        <v>0.43650476594870175</v>
      </c>
      <c r="CN32" s="1">
        <f t="shared" si="39"/>
        <v>0.01133377303522292</v>
      </c>
      <c r="CO32" s="1">
        <f t="shared" si="40"/>
        <v>0.20556604286839236</v>
      </c>
      <c r="CP32" s="1">
        <f t="shared" si="41"/>
        <v>0.08400589679519685</v>
      </c>
      <c r="CQ32" s="1">
        <f t="shared" si="42"/>
        <v>0.0012375598265579866</v>
      </c>
      <c r="CR32" s="1">
        <f t="shared" si="43"/>
        <v>0.083042320006995</v>
      </c>
      <c r="CS32" s="1">
        <f t="shared" si="44"/>
        <v>0.08453722195766367</v>
      </c>
      <c r="CT32" s="1">
        <f t="shared" si="45"/>
        <v>0.08817339711142759</v>
      </c>
      <c r="CU32" s="1">
        <f t="shared" si="46"/>
        <v>0.0031454544318553126</v>
      </c>
      <c r="CV32" s="1">
        <f t="shared" si="47"/>
        <v>0.0002887843415134429</v>
      </c>
      <c r="CW32" s="1">
        <f t="shared" si="48"/>
        <v>0.0021647836764733656</v>
      </c>
      <c r="CX32" s="1">
        <f t="shared" si="267"/>
        <v>1.0000000000000002</v>
      </c>
      <c r="CZ32" s="1">
        <f t="shared" si="50"/>
        <v>0.850471753852504</v>
      </c>
      <c r="DA32" s="1">
        <f t="shared" si="51"/>
        <v>0.009013655688367877</v>
      </c>
      <c r="DB32" s="1">
        <f t="shared" si="52"/>
        <v>0.06894793107168427</v>
      </c>
      <c r="DC32" s="1">
        <f t="shared" si="53"/>
        <v>0.10898249599144842</v>
      </c>
      <c r="DD32" s="1">
        <f t="shared" si="54"/>
        <v>0.00239647577092511</v>
      </c>
      <c r="DE32" s="1">
        <f t="shared" si="55"/>
        <v>0.48878038129831974</v>
      </c>
      <c r="DF32" s="1">
        <f t="shared" si="56"/>
        <v>0.2371721941459483</v>
      </c>
      <c r="DG32" s="1">
        <f t="shared" si="57"/>
        <v>0.009519368688376205</v>
      </c>
      <c r="DH32" s="1">
        <f t="shared" si="58"/>
        <v>0</v>
      </c>
      <c r="DI32" s="1">
        <f t="shared" si="59"/>
        <v>0.0008552732861310201</v>
      </c>
      <c r="DJ32" s="1">
        <f t="shared" si="268"/>
        <v>1.776139529793705</v>
      </c>
      <c r="DL32" s="1">
        <f t="shared" si="201"/>
        <v>1.700943507705008</v>
      </c>
      <c r="DM32" s="1">
        <f t="shared" si="201"/>
        <v>0.018027311376735754</v>
      </c>
      <c r="DN32" s="1">
        <f t="shared" si="269"/>
        <v>0.2068437932150528</v>
      </c>
      <c r="DO32" s="1">
        <f t="shared" si="203"/>
        <v>0.10898249599144842</v>
      </c>
      <c r="DP32" s="1">
        <f t="shared" si="203"/>
        <v>0.00239647577092511</v>
      </c>
      <c r="DQ32" s="1">
        <f t="shared" si="203"/>
        <v>0.48878038129831974</v>
      </c>
      <c r="DR32" s="1">
        <f t="shared" si="204"/>
        <v>0.2371721941459483</v>
      </c>
      <c r="DS32" s="1">
        <f t="shared" si="204"/>
        <v>0.009519368688376205</v>
      </c>
      <c r="DT32" s="1">
        <f t="shared" si="204"/>
        <v>0</v>
      </c>
      <c r="DU32" s="1">
        <f t="shared" si="270"/>
        <v>0.00256581985839306</v>
      </c>
      <c r="DV32" s="1">
        <f t="shared" si="271"/>
        <v>2.775231348050207</v>
      </c>
      <c r="DW32" s="1">
        <f t="shared" si="272"/>
        <v>2.1619819206119217</v>
      </c>
      <c r="DY32" s="1">
        <f t="shared" si="67"/>
        <v>1.838704555820226</v>
      </c>
      <c r="DZ32" s="1">
        <f t="shared" si="68"/>
        <v>0.019487360636872158</v>
      </c>
      <c r="EA32" s="1">
        <f t="shared" si="273"/>
        <v>0.16129544417977404</v>
      </c>
      <c r="EB32" s="1">
        <f>IF(EC32-EA32&lt;0,0,EC32-EA32)</f>
        <v>0.1368329167013827</v>
      </c>
      <c r="EC32" s="1">
        <f t="shared" si="71"/>
        <v>0.29812836088115674</v>
      </c>
      <c r="ED32" s="1">
        <f t="shared" si="72"/>
        <v>0.23561818599667272</v>
      </c>
      <c r="EE32" s="1">
        <f t="shared" si="73"/>
        <v>0.005181137289924606</v>
      </c>
      <c r="EF32" s="1">
        <f t="shared" si="74"/>
        <v>1.0567343475167688</v>
      </c>
      <c r="EG32" s="1">
        <f t="shared" si="75"/>
        <v>0.5127619958154009</v>
      </c>
      <c r="EH32" s="1">
        <f t="shared" si="76"/>
        <v>0.04116140599981716</v>
      </c>
      <c r="EI32" s="1">
        <f t="shared" si="77"/>
        <v>0</v>
      </c>
      <c r="EJ32" s="1">
        <f t="shared" si="78"/>
        <v>0.003698170763595225</v>
      </c>
      <c r="EK32" s="1">
        <f>DY32+DZ32+EC32+ED32+EE32+EF32+EG32+EH32+EI32+EJ32</f>
        <v>4.011475520720435</v>
      </c>
      <c r="EL32" s="1">
        <f>IF(EH32+EA32-EB32-2*DZ32-EJ32&gt;0,EH32+EA32-EB32-2*DZ32-EJ32,0)</f>
        <v>0.022951041440868954</v>
      </c>
      <c r="EM32" s="1">
        <f>12-48/EK32</f>
        <v>0.034328079015795154</v>
      </c>
      <c r="EN32" s="1">
        <f t="shared" si="274"/>
        <v>0.04116140599981716</v>
      </c>
      <c r="EO32" s="1">
        <f t="shared" si="275"/>
        <v>0.09567151070156554</v>
      </c>
      <c r="EP32" s="1">
        <f t="shared" si="276"/>
        <v>0.03281196673910425</v>
      </c>
      <c r="EQ32" s="1">
        <f t="shared" si="277"/>
        <v>0.0018490853817976125</v>
      </c>
      <c r="ER32" s="2">
        <f>IF(EG32-EP32-EO32-EQ32&gt;0,EG32-EP32-EO32-EQ32,0)</f>
        <v>0.3824294329929335</v>
      </c>
      <c r="ES32" s="1">
        <f t="shared" si="278"/>
        <v>0.45496155026025403</v>
      </c>
      <c r="ET32" s="1">
        <f t="shared" si="279"/>
        <v>1.0088849520754721</v>
      </c>
      <c r="EU32" s="1">
        <f t="shared" si="280"/>
        <v>0.3824294329929335</v>
      </c>
      <c r="EV32" s="1">
        <f t="shared" si="281"/>
        <v>2.478095662896001</v>
      </c>
      <c r="EW32" s="1">
        <f t="shared" si="282"/>
        <v>-2.478641305817902</v>
      </c>
      <c r="EX32" s="1">
        <f t="shared" si="283"/>
        <v>-2.478641305817902</v>
      </c>
      <c r="EY32" s="1">
        <f t="shared" si="284"/>
        <v>0.49711587227134896</v>
      </c>
      <c r="EZ32" s="84">
        <f t="shared" si="191"/>
        <v>1494.5816696973302</v>
      </c>
      <c r="FA32" s="84">
        <f t="shared" si="192"/>
        <v>10.521561924044587</v>
      </c>
      <c r="FB32" s="1">
        <f t="shared" si="193"/>
        <v>0.14945816696973302</v>
      </c>
      <c r="FC32" s="2">
        <f t="shared" si="94"/>
        <v>-0.5020153071934882</v>
      </c>
      <c r="FD32" s="2">
        <f t="shared" si="95"/>
        <v>5.60612771759249</v>
      </c>
      <c r="FE32" s="1">
        <f t="shared" si="96"/>
        <v>12.192308927867884</v>
      </c>
      <c r="FF32" s="1">
        <f>(1-EG32-EH32-EI32)*(1-0.5*(EC32+EJ32+EH32+EI32))</f>
        <v>0.3695771519633302</v>
      </c>
      <c r="FG32" s="2"/>
      <c r="FH32" s="2">
        <f t="shared" si="98"/>
        <v>16.343032186979123</v>
      </c>
      <c r="FI32" s="2">
        <f t="shared" si="99"/>
        <v>0.29707133334396835</v>
      </c>
      <c r="FJ32" s="2">
        <f>(ED32/EF32)/(CP32/CR32)</f>
        <v>0.22041070604522378</v>
      </c>
      <c r="FK32" s="1">
        <f>EG32+EH32+EE32</f>
        <v>0.5591045391051428</v>
      </c>
      <c r="FL32" s="1">
        <f>EB32+DZ32+EJ32+EL32</f>
        <v>0.18296948954271902</v>
      </c>
      <c r="FM32" s="1">
        <f>EXP(0.238*FL32+0.289*FK32-2.3315)</f>
        <v>0.11926921266603821</v>
      </c>
      <c r="FN32" s="1">
        <f>1-DZ32-EB32</f>
        <v>0.8436797226617452</v>
      </c>
      <c r="FO32" s="1">
        <f t="shared" si="105"/>
        <v>0.4257217694108273</v>
      </c>
      <c r="FP32" s="1">
        <f>ED32-EL32</f>
        <v>0.21266714455580377</v>
      </c>
      <c r="FQ32" s="1">
        <f>1-FM32</f>
        <v>0.8807307873339618</v>
      </c>
      <c r="FR32" s="1">
        <f t="shared" si="108"/>
        <v>0.727013224587186</v>
      </c>
      <c r="FS32" s="1">
        <f>-FP32*(1-FK32)</f>
        <v>-0.09376397871612432</v>
      </c>
      <c r="FT32" s="1">
        <f>(-FR32+SQRT(FR32^2-4*FQ32*FS32))/2*FQ32</f>
        <v>0.08795857913015603</v>
      </c>
      <c r="FU32" s="1">
        <f>FT32</f>
        <v>0.08795857913015603</v>
      </c>
      <c r="FV32" s="1">
        <f>FP32-FU32</f>
        <v>0.12470856542564773</v>
      </c>
      <c r="FW32" s="1">
        <f>1-FK32-FU32</f>
        <v>0.35293688176470117</v>
      </c>
      <c r="FX32" s="1">
        <f t="shared" si="114"/>
        <v>0.7037974657520676</v>
      </c>
      <c r="FY32" s="1">
        <f t="shared" si="115"/>
        <v>0.5127619958154009</v>
      </c>
      <c r="FZ32" s="1">
        <f t="shared" si="116"/>
        <v>0.04116140599981716</v>
      </c>
      <c r="GA32" s="1">
        <f t="shared" si="117"/>
        <v>431.2404432189905</v>
      </c>
      <c r="GB32" s="1">
        <f t="shared" si="118"/>
        <v>11.731109082236921</v>
      </c>
      <c r="GC32" s="1">
        <f t="shared" si="119"/>
        <v>2.22540789162046</v>
      </c>
      <c r="GD32" s="1">
        <f>32.9*(0.75*GC32/6)*(10^-6)</f>
        <v>9.15198995428914E-06</v>
      </c>
      <c r="GE32" s="1">
        <f>7500*GC32/((1.4133+0.05601*GB32)^3)</f>
        <v>1880.76115899789</v>
      </c>
      <c r="GF32" s="1">
        <f t="shared" si="122"/>
        <v>0.4113079352289224</v>
      </c>
      <c r="GG32" s="2">
        <f t="shared" si="123"/>
        <v>22.439676645129058</v>
      </c>
      <c r="GH32" s="4">
        <f>IG32</f>
        <v>12.150840821070847</v>
      </c>
      <c r="GI32" s="4">
        <f>IL32</f>
        <v>16.150457312162345</v>
      </c>
      <c r="GJ32" s="4">
        <f t="shared" si="126"/>
        <v>5.25</v>
      </c>
      <c r="GK32" s="4">
        <f t="shared" si="127"/>
        <v>3.9363571199999967</v>
      </c>
      <c r="GL32" s="4">
        <f>IF(GJ32&gt;GK32,GI32,GH32)</f>
        <v>16.150457312162345</v>
      </c>
      <c r="GM32" s="1">
        <f t="shared" si="243"/>
        <v>431.2404432189905</v>
      </c>
      <c r="GN32" s="1">
        <f t="shared" si="243"/>
        <v>11.731109082236921</v>
      </c>
      <c r="GO32" s="4">
        <f>771.475-(1.323*GM32)-(16.064*GN32)</f>
        <v>12.495357324221715</v>
      </c>
      <c r="GP32" s="4"/>
      <c r="GQ32" s="7">
        <f t="shared" si="131"/>
        <v>0.21784828184572838</v>
      </c>
      <c r="GR32" s="7">
        <f>FW32+FX32</f>
        <v>1.0567343475167688</v>
      </c>
      <c r="GS32" s="7">
        <f>IF(EH32&gt;EL32,EL32,EH32)</f>
        <v>0.022951041440868954</v>
      </c>
      <c r="GT32" s="7">
        <f t="shared" si="134"/>
        <v>0.018210364558948203</v>
      </c>
      <c r="GU32" s="7">
        <f t="shared" si="135"/>
        <v>0</v>
      </c>
      <c r="GV32" s="7">
        <f t="shared" si="136"/>
        <v>0.018210364558948203</v>
      </c>
      <c r="GW32" s="7">
        <f>GT32-GV32</f>
        <v>0</v>
      </c>
      <c r="GX32" s="7">
        <f t="shared" si="138"/>
        <v>0.1186225521424345</v>
      </c>
      <c r="GY32" s="7">
        <f t="shared" si="139"/>
        <v>0.16129544417977404</v>
      </c>
      <c r="GZ32" s="7">
        <f>GQ32/(GQ32+GR32)</f>
        <v>0.17091734723757274</v>
      </c>
      <c r="HA32" s="7">
        <f t="shared" si="141"/>
        <v>0.29139482098732816</v>
      </c>
      <c r="HB32" s="7">
        <f t="shared" si="142"/>
        <v>0.06007173064829873</v>
      </c>
      <c r="HC32" s="7">
        <f>(1-GS32-GV32-GU32-GY32-HA32-HB32)*(1-GZ32)</f>
        <v>0.3698343693582784</v>
      </c>
      <c r="HD32" s="7">
        <f>(1-GS32-GV32-GU32-GY32-HA32-HB32)*GZ32</f>
        <v>0.07624222882650358</v>
      </c>
      <c r="HE32" s="7">
        <f>GV32+GS32</f>
        <v>0.04116140599981716</v>
      </c>
      <c r="HF32" s="7"/>
      <c r="HG32" s="16">
        <f>(-0.000000872*HA32)-(0.000000749*HC32)-(0.000000993*HB32)-(0.00000087*(GY32+GU32))-(0.00000086*HE32)-(0.00000087*HD32)</f>
        <v>-8.328100397593657E-07</v>
      </c>
      <c r="HH32" s="16">
        <f>(0.000000000001707*HA32)+(0.000000000000447*HC32)+(0.0000000000014835*HB32)+(0.000000000002171*(GY32+GU32))+(0.000000000002149*HE32)+(0.0000000000002235*HD32)</f>
        <v>1.2075117438958907E-12</v>
      </c>
      <c r="HI32" s="16">
        <f>(0.000027795*HA32)+(0.000024656*HC32)+(0.000031371*HB32)+(0.00002225*(GY32+GU32))+(0.000023118*HE32)+(0.000028232*HD32)</f>
        <v>2.5795329143541872E-05</v>
      </c>
      <c r="HJ32" s="16">
        <f>(0.0000000083082*HA32)+(0.000000007467*HC32)+(0.0000000083672*HB32)+(0.0000000052863*(GY32+GU32))+(0.0000000025785*HE32)+(0.000000007526*HD32)</f>
        <v>7.217741678491964E-09</v>
      </c>
      <c r="HK32" s="7">
        <f>GC32</f>
        <v>2.22540789162046</v>
      </c>
      <c r="HL32" s="7">
        <f t="shared" si="151"/>
        <v>450.10063424665964</v>
      </c>
      <c r="HM32" s="7">
        <f t="shared" si="152"/>
        <v>7.8254130398372</v>
      </c>
      <c r="HN32" s="7">
        <f t="shared" si="153"/>
        <v>450.100093002316</v>
      </c>
      <c r="HO32" s="7">
        <f t="shared" si="154"/>
        <v>9.332501477807572</v>
      </c>
      <c r="HP32" s="7">
        <f t="shared" si="155"/>
        <v>9.332501477807572</v>
      </c>
      <c r="HQ32" s="2">
        <f>(1-EG32-EH32-EI32)*(1-0.5*(EC32+EJ32+EH32+EI32))</f>
        <v>0.3695771519633302</v>
      </c>
      <c r="HR32" s="17">
        <f t="shared" si="157"/>
        <v>1255</v>
      </c>
      <c r="HS32" s="17"/>
      <c r="HT32" s="7">
        <f>1.4133+(0.05601*GN32)</f>
        <v>2.07035941969609</v>
      </c>
      <c r="HU32" s="17">
        <f t="shared" si="159"/>
        <v>1880.76115899789</v>
      </c>
      <c r="HV32" s="16">
        <f>0.0000329*(0.75-HK32/6)</f>
        <v>1.2472346727614478E-05</v>
      </c>
      <c r="HW32" s="1">
        <f t="shared" si="161"/>
        <v>0.5641190005262163</v>
      </c>
      <c r="HX32" s="1">
        <f>IF(IB32&gt;0,1000*IB32,0)</f>
        <v>15695.0165580391</v>
      </c>
      <c r="HY32" s="16">
        <f t="shared" si="163"/>
        <v>444.5949872753399</v>
      </c>
      <c r="HZ32" s="1">
        <f t="shared" si="164"/>
        <v>-0.09748973118679295</v>
      </c>
      <c r="IA32" s="1">
        <f t="shared" si="165"/>
        <v>12.197738351576346</v>
      </c>
      <c r="IB32" s="4">
        <f>654.472-(1.186*HY32)-(9.14*IA32)</f>
        <v>15.6950165580391</v>
      </c>
      <c r="IC32" s="17">
        <f>IF(IG32&gt;0,1000*IG32,0)</f>
        <v>12150.840821070848</v>
      </c>
      <c r="ID32" s="16">
        <f t="shared" si="168"/>
        <v>445.8164564522344</v>
      </c>
      <c r="IE32" s="7">
        <f t="shared" si="169"/>
        <v>-0.07554593793044237</v>
      </c>
      <c r="IF32" s="7">
        <f t="shared" si="170"/>
        <v>12.219682144832696</v>
      </c>
      <c r="IG32" s="4">
        <f t="shared" si="171"/>
        <v>12.150840821070847</v>
      </c>
      <c r="IH32" s="17">
        <f>IF(IL32&gt;0,1000*IL32,0)</f>
        <v>16150.457312162345</v>
      </c>
      <c r="II32" s="4">
        <f t="shared" si="173"/>
        <v>444.4389721537556</v>
      </c>
      <c r="IJ32" s="7">
        <f t="shared" si="174"/>
        <v>-0.10030661082949122</v>
      </c>
      <c r="IK32" s="7">
        <f t="shared" si="175"/>
        <v>12.194921471933647</v>
      </c>
      <c r="IL32" s="4">
        <f t="shared" si="176"/>
        <v>16.150457312162345</v>
      </c>
      <c r="IN32" s="1">
        <f t="shared" si="177"/>
        <v>12.251475442540016</v>
      </c>
      <c r="IO32" s="1">
        <f t="shared" si="178"/>
        <v>12.205651950480629</v>
      </c>
    </row>
    <row r="33" spans="1:249" ht="12.75">
      <c r="A33" s="1" t="s">
        <v>200</v>
      </c>
      <c r="B33" s="85" t="s">
        <v>211</v>
      </c>
      <c r="C33" s="3">
        <v>1.3</v>
      </c>
      <c r="D33" s="3">
        <v>1280</v>
      </c>
      <c r="F33" s="1">
        <v>5209</v>
      </c>
      <c r="G33" s="33">
        <v>47.8</v>
      </c>
      <c r="H33" s="33">
        <v>1.98</v>
      </c>
      <c r="I33" s="33">
        <v>18.5</v>
      </c>
      <c r="J33" s="33">
        <v>11.8</v>
      </c>
      <c r="K33" s="33">
        <v>0.14</v>
      </c>
      <c r="L33" s="33">
        <v>5.7</v>
      </c>
      <c r="M33" s="33">
        <v>7.38</v>
      </c>
      <c r="N33" s="33">
        <v>5.94</v>
      </c>
      <c r="O33" s="33">
        <v>0.37</v>
      </c>
      <c r="P33" s="33">
        <v>0.02</v>
      </c>
      <c r="Q33" s="33">
        <v>0.4</v>
      </c>
      <c r="R33" s="33">
        <v>0</v>
      </c>
      <c r="S33" s="4">
        <f t="shared" si="2"/>
        <v>100.03</v>
      </c>
      <c r="U33" s="33">
        <v>50.2</v>
      </c>
      <c r="V33" s="33">
        <v>0.85</v>
      </c>
      <c r="W33" s="33">
        <v>8.76</v>
      </c>
      <c r="X33" s="33">
        <v>7.86</v>
      </c>
      <c r="Y33" s="33">
        <v>0.18</v>
      </c>
      <c r="Z33" s="33">
        <v>18.4</v>
      </c>
      <c r="AA33" s="33">
        <v>13</v>
      </c>
      <c r="AB33" s="33">
        <v>0.75</v>
      </c>
      <c r="AC33" s="33">
        <v>0</v>
      </c>
      <c r="AD33" s="33">
        <v>0.12</v>
      </c>
      <c r="AF33" s="53">
        <f t="shared" si="179"/>
        <v>1502.9608439778306</v>
      </c>
      <c r="AG33" s="53">
        <f t="shared" si="194"/>
        <v>12.443591448100431</v>
      </c>
      <c r="AI33" s="51">
        <f t="shared" si="3"/>
        <v>1502.9608439778306</v>
      </c>
      <c r="AJ33" s="51">
        <f t="shared" si="264"/>
        <v>1229.8108439778307</v>
      </c>
      <c r="AK33" s="51">
        <f t="shared" si="180"/>
        <v>1509.6726747797575</v>
      </c>
      <c r="AL33" s="51">
        <f t="shared" si="265"/>
        <v>1236.5226747797574</v>
      </c>
      <c r="AM33" s="51">
        <f t="shared" si="6"/>
        <v>12.443591448100431</v>
      </c>
      <c r="AN33" s="51"/>
      <c r="AO33" s="51">
        <f t="shared" si="181"/>
        <v>1475.8861464962042</v>
      </c>
      <c r="AP33" s="51">
        <f t="shared" si="182"/>
        <v>13.13701034711271</v>
      </c>
      <c r="AQ33" s="51">
        <f t="shared" si="183"/>
        <v>1202.7361464962041</v>
      </c>
      <c r="AR33" s="70"/>
      <c r="AS33" s="90">
        <f t="shared" si="7"/>
        <v>0.33358830994183286</v>
      </c>
      <c r="AT33" s="90">
        <f t="shared" si="8"/>
        <v>0.40866105299532113</v>
      </c>
      <c r="AU33" s="90">
        <f t="shared" si="9"/>
        <v>0.05102320153455541</v>
      </c>
      <c r="AV33" s="90">
        <f t="shared" si="10"/>
        <v>0.027850556171308126</v>
      </c>
      <c r="AW33" s="90">
        <f t="shared" si="11"/>
        <v>0.0354777021782666</v>
      </c>
      <c r="AX33" s="90">
        <f t="shared" si="184"/>
        <v>0.0002352575284194445</v>
      </c>
      <c r="AY33" s="51">
        <f t="shared" si="185"/>
        <v>0.8568360803497037</v>
      </c>
      <c r="AZ33" s="70"/>
      <c r="BA33" s="90">
        <f t="shared" si="12"/>
        <v>0.341190188745043</v>
      </c>
      <c r="BB33" s="90">
        <f t="shared" si="0"/>
        <v>0.44348077865476365</v>
      </c>
      <c r="BC33" s="90">
        <f t="shared" si="1"/>
        <v>0.1335342777071455</v>
      </c>
      <c r="BD33" s="90">
        <f t="shared" si="13"/>
        <v>0.05252183137527182</v>
      </c>
      <c r="BE33" s="90">
        <f t="shared" si="14"/>
        <v>0.026654848819487126</v>
      </c>
      <c r="BF33" s="90">
        <f t="shared" si="15"/>
        <v>0.0017133073073890793</v>
      </c>
      <c r="BG33" s="90">
        <f t="shared" si="186"/>
        <v>0.9990952326091002</v>
      </c>
      <c r="BH33" s="90">
        <f t="shared" si="187"/>
        <v>0.20634672070744295</v>
      </c>
      <c r="BI33" s="70"/>
      <c r="BJ33" s="51">
        <f t="shared" si="16"/>
        <v>11.888093269548884</v>
      </c>
      <c r="BK33" s="51">
        <f t="shared" si="188"/>
        <v>12.638612534382993</v>
      </c>
      <c r="BL33" s="51">
        <f t="shared" si="17"/>
        <v>1227.336706920179</v>
      </c>
      <c r="BM33" s="51">
        <f t="shared" si="18"/>
        <v>1227.0934137080171</v>
      </c>
      <c r="BN33" s="51">
        <f t="shared" si="189"/>
        <v>1227.0934137080171</v>
      </c>
      <c r="BO33" s="51"/>
      <c r="BP33" s="51">
        <f t="shared" si="19"/>
        <v>11.596191981577249</v>
      </c>
      <c r="BQ33" s="51">
        <f t="shared" si="20"/>
        <v>10.315653830511081</v>
      </c>
      <c r="BR33" s="51">
        <f t="shared" si="21"/>
        <v>11.620599006664149</v>
      </c>
      <c r="BS33" s="51">
        <f t="shared" si="22"/>
        <v>1271.3106905889176</v>
      </c>
      <c r="BT33" s="71">
        <f t="shared" si="190"/>
        <v>0.28629218278638674</v>
      </c>
      <c r="BU33" s="70"/>
      <c r="BV33" s="51">
        <f t="shared" si="23"/>
        <v>13.362026900678229</v>
      </c>
      <c r="BW33" s="51">
        <f t="shared" si="24"/>
        <v>14.698092534105196</v>
      </c>
      <c r="BX33" s="51">
        <f t="shared" si="25"/>
        <v>1274.0143005694358</v>
      </c>
      <c r="BY33" s="2"/>
      <c r="BZ33" s="1">
        <f t="shared" si="26"/>
        <v>0.7955489204334576</v>
      </c>
      <c r="CA33" s="1">
        <f t="shared" si="27"/>
        <v>0.024787553143011662</v>
      </c>
      <c r="CB33" s="1">
        <f t="shared" si="28"/>
        <v>0.3628838477457067</v>
      </c>
      <c r="CC33" s="1">
        <f t="shared" si="29"/>
        <v>0.16423926598966684</v>
      </c>
      <c r="CD33" s="1">
        <f t="shared" si="30"/>
        <v>0.001973568281938326</v>
      </c>
      <c r="CE33" s="1">
        <f t="shared" si="31"/>
        <v>0.1414237651472296</v>
      </c>
      <c r="CF33" s="1">
        <f t="shared" si="32"/>
        <v>0.13160381900730062</v>
      </c>
      <c r="CG33" s="1">
        <f t="shared" si="33"/>
        <v>0.19167813562357514</v>
      </c>
      <c r="CH33" s="1">
        <f t="shared" si="34"/>
        <v>0.007855959913372118</v>
      </c>
      <c r="CI33" s="1">
        <f t="shared" si="35"/>
        <v>0.00026316101111723694</v>
      </c>
      <c r="CJ33" s="1">
        <f t="shared" si="36"/>
        <v>0.005636303430395175</v>
      </c>
      <c r="CK33" s="1">
        <f t="shared" si="266"/>
        <v>1.8278942997267709</v>
      </c>
      <c r="CM33" s="1">
        <f t="shared" si="38"/>
        <v>0.4352269825188329</v>
      </c>
      <c r="CN33" s="1">
        <f t="shared" si="39"/>
        <v>0.013560714723338677</v>
      </c>
      <c r="CO33" s="1">
        <f t="shared" si="40"/>
        <v>0.1985256192329883</v>
      </c>
      <c r="CP33" s="1">
        <f t="shared" si="41"/>
        <v>0.08985162107798954</v>
      </c>
      <c r="CQ33" s="1">
        <f t="shared" si="42"/>
        <v>0.0010796949704549822</v>
      </c>
      <c r="CR33" s="1">
        <f t="shared" si="43"/>
        <v>0.07736977196568165</v>
      </c>
      <c r="CS33" s="1">
        <f t="shared" si="44"/>
        <v>0.0719974995419442</v>
      </c>
      <c r="CT33" s="1">
        <f t="shared" si="45"/>
        <v>0.10486281162550083</v>
      </c>
      <c r="CU33" s="1">
        <f t="shared" si="46"/>
        <v>0.004297819581004442</v>
      </c>
      <c r="CV33" s="1">
        <f t="shared" si="47"/>
        <v>0.00014396949055346013</v>
      </c>
      <c r="CW33" s="1">
        <f t="shared" si="48"/>
        <v>0.0030834952717111027</v>
      </c>
      <c r="CX33" s="1">
        <f t="shared" si="267"/>
        <v>1</v>
      </c>
      <c r="CZ33" s="1">
        <f t="shared" si="50"/>
        <v>0.8354927992836731</v>
      </c>
      <c r="DA33" s="1">
        <f t="shared" si="51"/>
        <v>0.010641121298767632</v>
      </c>
      <c r="DB33" s="1">
        <f t="shared" si="52"/>
        <v>0.08591520287168623</v>
      </c>
      <c r="DC33" s="1">
        <f t="shared" si="53"/>
        <v>0.10940005344735436</v>
      </c>
      <c r="DD33" s="1">
        <f t="shared" si="54"/>
        <v>0.002537444933920705</v>
      </c>
      <c r="DE33" s="1">
        <f t="shared" si="55"/>
        <v>0.4565258383700042</v>
      </c>
      <c r="DF33" s="1">
        <f t="shared" si="56"/>
        <v>0.23182244540581412</v>
      </c>
      <c r="DG33" s="1">
        <f t="shared" si="57"/>
        <v>0.012100892400478227</v>
      </c>
      <c r="DH33" s="1">
        <f t="shared" si="58"/>
        <v>0</v>
      </c>
      <c r="DI33" s="1">
        <f t="shared" si="59"/>
        <v>0.0007894830333517107</v>
      </c>
      <c r="DJ33" s="1">
        <f t="shared" si="268"/>
        <v>1.7452252810450501</v>
      </c>
      <c r="DL33" s="1">
        <f t="shared" si="201"/>
        <v>1.6709855985673463</v>
      </c>
      <c r="DM33" s="1">
        <f t="shared" si="201"/>
        <v>0.021282242597535264</v>
      </c>
      <c r="DN33" s="1">
        <f t="shared" si="269"/>
        <v>0.2577456086150587</v>
      </c>
      <c r="DO33" s="1">
        <f t="shared" si="203"/>
        <v>0.10940005344735436</v>
      </c>
      <c r="DP33" s="1">
        <f t="shared" si="203"/>
        <v>0.002537444933920705</v>
      </c>
      <c r="DQ33" s="1">
        <f t="shared" si="203"/>
        <v>0.4565258383700042</v>
      </c>
      <c r="DR33" s="1">
        <f t="shared" si="204"/>
        <v>0.23182244540581412</v>
      </c>
      <c r="DS33" s="1">
        <f t="shared" si="204"/>
        <v>0.012100892400478227</v>
      </c>
      <c r="DT33" s="1">
        <f t="shared" si="204"/>
        <v>0</v>
      </c>
      <c r="DU33" s="1">
        <f t="shared" si="270"/>
        <v>0.002368449100055132</v>
      </c>
      <c r="DV33" s="1">
        <f t="shared" si="271"/>
        <v>2.764768573437567</v>
      </c>
      <c r="DW33" s="1">
        <f t="shared" si="272"/>
        <v>2.1701635564165564</v>
      </c>
      <c r="DY33" s="1">
        <f t="shared" si="67"/>
        <v>1.8131560246538803</v>
      </c>
      <c r="DZ33" s="1">
        <f t="shared" si="68"/>
        <v>0.02309297364199353</v>
      </c>
      <c r="EA33" s="1">
        <f t="shared" si="273"/>
        <v>0.18684397534611974</v>
      </c>
      <c r="EB33" s="1">
        <f>IF(EC33-EA33&lt;0,0,EC33-EA33)</f>
        <v>0.18605610908241732</v>
      </c>
      <c r="EC33" s="1">
        <f t="shared" si="71"/>
        <v>0.37290008442853706</v>
      </c>
      <c r="ED33" s="1">
        <f t="shared" si="72"/>
        <v>0.2374160090614719</v>
      </c>
      <c r="EE33" s="1">
        <f t="shared" si="73"/>
        <v>0.005506670522008531</v>
      </c>
      <c r="EF33" s="1">
        <f t="shared" si="74"/>
        <v>0.9907357369930984</v>
      </c>
      <c r="EG33" s="1">
        <f t="shared" si="75"/>
        <v>0.5030926225790646</v>
      </c>
      <c r="EH33" s="1">
        <f t="shared" si="76"/>
        <v>0.05252183137527182</v>
      </c>
      <c r="EI33" s="1">
        <f t="shared" si="77"/>
        <v>0</v>
      </c>
      <c r="EJ33" s="1">
        <f t="shared" si="78"/>
        <v>0.0034266146147781586</v>
      </c>
      <c r="EK33" s="1">
        <f>DY33+DZ33+EC33+ED33+EE33+EF33+EG33+EH33+EI33+EJ33</f>
        <v>4.001848567870105</v>
      </c>
      <c r="EL33" s="1">
        <f>IF(EH33+EA33-EB33-2*DZ33-EJ33&gt;0,EH33+EA33-EB33-2*DZ33-EJ33,0)</f>
        <v>0.003697135740209032</v>
      </c>
      <c r="EM33" s="1">
        <f>12-48/EK33</f>
        <v>0.0055431418918132636</v>
      </c>
      <c r="EN33" s="1">
        <f t="shared" si="274"/>
        <v>0.05252183137527182</v>
      </c>
      <c r="EO33" s="1">
        <f t="shared" si="275"/>
        <v>0.1335342777071455</v>
      </c>
      <c r="EP33" s="1">
        <f t="shared" si="276"/>
        <v>0.026654848819487126</v>
      </c>
      <c r="EQ33" s="1">
        <f t="shared" si="277"/>
        <v>0.0017133073073890793</v>
      </c>
      <c r="ER33" s="2">
        <f>IF(EG33-EP33-EO33-EQ33&gt;0,EG33-EP33-EO33-EQ33,0)</f>
        <v>0.341190188745043</v>
      </c>
      <c r="ES33" s="1">
        <f t="shared" si="278"/>
        <v>0.44348077865476365</v>
      </c>
      <c r="ET33" s="1">
        <f t="shared" si="279"/>
        <v>0.9990952326091002</v>
      </c>
      <c r="EU33" s="1">
        <f t="shared" si="280"/>
        <v>0.3411901887450429</v>
      </c>
      <c r="EV33" s="1">
        <f t="shared" si="281"/>
        <v>2.5891882721753294</v>
      </c>
      <c r="EW33" s="1">
        <f t="shared" si="282"/>
        <v>-2.4188322059254572</v>
      </c>
      <c r="EX33" s="1">
        <f t="shared" si="283"/>
        <v>-2.4188322059254572</v>
      </c>
      <c r="EY33" s="1">
        <f t="shared" si="284"/>
        <v>0.4626786714154207</v>
      </c>
      <c r="EZ33" s="84">
        <f t="shared" si="191"/>
        <v>1502.9608439778306</v>
      </c>
      <c r="FA33" s="84">
        <f t="shared" si="192"/>
        <v>12.443591448100431</v>
      </c>
      <c r="FB33" s="1">
        <f t="shared" si="193"/>
        <v>0.15029608439778305</v>
      </c>
      <c r="FC33" s="2">
        <f t="shared" si="94"/>
        <v>-0.5878899488429371</v>
      </c>
      <c r="FD33" s="2">
        <f t="shared" si="95"/>
        <v>5.619920425214721</v>
      </c>
      <c r="FE33" s="1">
        <f t="shared" si="96"/>
        <v>13.725660411283107</v>
      </c>
      <c r="FF33" s="1">
        <f>(1-EG33-EH33-EI33)*(1-0.5*(EC33+EJ33+EH33+EI33))</f>
        <v>0.3490985018651914</v>
      </c>
      <c r="FG33" s="2"/>
      <c r="FH33" s="2">
        <f t="shared" si="98"/>
        <v>16.52423185485906</v>
      </c>
      <c r="FI33" s="2">
        <f t="shared" si="99"/>
        <v>0.29707133334396835</v>
      </c>
      <c r="FJ33" s="2">
        <f>(ED33/EF33)/(CP33/CR33)</f>
        <v>0.20634672070744295</v>
      </c>
      <c r="FK33" s="1">
        <f>EG33+EH33+EE33</f>
        <v>0.5611211244763449</v>
      </c>
      <c r="FL33" s="1">
        <f>EB33+DZ33+EJ33+EL33</f>
        <v>0.21627283307939804</v>
      </c>
      <c r="FM33" s="1">
        <f>EXP(0.238*FL33+0.289*FK33-2.3315)</f>
        <v>0.12028840306735078</v>
      </c>
      <c r="FN33" s="1">
        <f>1-DZ33-EB33</f>
        <v>0.7908509172755891</v>
      </c>
      <c r="FO33" s="1">
        <f t="shared" si="105"/>
        <v>0.4336036930387721</v>
      </c>
      <c r="FP33" s="1">
        <f>ED33-EL33</f>
        <v>0.23371887332126287</v>
      </c>
      <c r="FQ33" s="1">
        <f>1-FM33</f>
        <v>0.8797115969326492</v>
      </c>
      <c r="FR33" s="1">
        <f t="shared" si="108"/>
        <v>0.7389797294328375</v>
      </c>
      <c r="FS33" s="1">
        <f>-FP33*(1-FK33)</f>
        <v>-0.10257427631189145</v>
      </c>
      <c r="FT33" s="1">
        <f>(-FR33+SQRT(FR33^2-4*FQ33*FS33))/2*FQ33</f>
        <v>0.09386684689889489</v>
      </c>
      <c r="FU33" s="1">
        <f>FT33</f>
        <v>0.09386684689889489</v>
      </c>
      <c r="FV33" s="1">
        <f>FP33-FU33</f>
        <v>0.139852026422368</v>
      </c>
      <c r="FW33" s="1">
        <f>1-FK33-FU33</f>
        <v>0.3450120286247602</v>
      </c>
      <c r="FX33" s="1">
        <f t="shared" si="114"/>
        <v>0.6457237083683381</v>
      </c>
      <c r="FY33" s="1">
        <f t="shared" si="115"/>
        <v>0.5030926225790646</v>
      </c>
      <c r="FZ33" s="1">
        <f t="shared" si="116"/>
        <v>0.05252183137527182</v>
      </c>
      <c r="GA33" s="1">
        <f t="shared" si="117"/>
        <v>430.31521451696057</v>
      </c>
      <c r="GB33" s="1">
        <f t="shared" si="118"/>
        <v>11.612297085291782</v>
      </c>
      <c r="GC33" s="1">
        <f t="shared" si="119"/>
        <v>2.2430629424616004</v>
      </c>
      <c r="GD33" s="1">
        <f>32.9*(0.75*GC33/6)*(10^-6)</f>
        <v>9.224596350873331E-06</v>
      </c>
      <c r="GE33" s="1">
        <f>7500*GC33/((1.4133+0.05601*GB33)^3)</f>
        <v>1914.0797398534796</v>
      </c>
      <c r="GF33" s="1">
        <f t="shared" si="122"/>
        <v>0.4104293358689793</v>
      </c>
      <c r="GG33" s="2">
        <f t="shared" si="123"/>
        <v>24.59522400666414</v>
      </c>
      <c r="GH33" s="4">
        <f>IG33</f>
        <v>15.302690283697668</v>
      </c>
      <c r="GI33" s="4">
        <f>IL33</f>
        <v>20.012301368905362</v>
      </c>
      <c r="GJ33" s="4">
        <f t="shared" si="126"/>
        <v>6.3100000000000005</v>
      </c>
      <c r="GK33" s="4">
        <f t="shared" si="127"/>
        <v>3.9363571199999967</v>
      </c>
      <c r="GL33" s="4">
        <f>IF(GJ33&gt;GK33,GI33,GH33)</f>
        <v>20.012301368905362</v>
      </c>
      <c r="GM33" s="1">
        <f t="shared" si="243"/>
        <v>430.31521451696057</v>
      </c>
      <c r="GN33" s="1">
        <f t="shared" si="243"/>
        <v>11.612297085291782</v>
      </c>
      <c r="GO33" s="4">
        <f>771.475-(1.323*GM33)-(16.064*GN33)</f>
        <v>15.62803081593404</v>
      </c>
      <c r="GP33" s="4"/>
      <c r="GQ33" s="7">
        <f t="shared" si="131"/>
        <v>0.23922554384327144</v>
      </c>
      <c r="GR33" s="7">
        <f>FW33+FX33</f>
        <v>0.9907357369930984</v>
      </c>
      <c r="GS33" s="7">
        <f>IF(EH33&gt;EL33,EL33,EH33)</f>
        <v>0.003697135740209032</v>
      </c>
      <c r="GT33" s="7">
        <f t="shared" si="134"/>
        <v>0.04882469563506279</v>
      </c>
      <c r="GU33" s="7">
        <f t="shared" si="135"/>
        <v>0</v>
      </c>
      <c r="GV33" s="7">
        <f t="shared" si="136"/>
        <v>0.04882469563506279</v>
      </c>
      <c r="GW33" s="7">
        <f>GT33-GV33</f>
        <v>0</v>
      </c>
      <c r="GX33" s="7">
        <f t="shared" si="138"/>
        <v>0.13723141344735454</v>
      </c>
      <c r="GY33" s="7">
        <f t="shared" si="139"/>
        <v>0.18684397534611977</v>
      </c>
      <c r="GZ33" s="7">
        <f>GQ33/(GQ33+GR33)</f>
        <v>0.1944984346829185</v>
      </c>
      <c r="HA33" s="7">
        <f t="shared" si="141"/>
        <v>0.2547387803755466</v>
      </c>
      <c r="HB33" s="7">
        <f t="shared" si="142"/>
        <v>0.06150986685739826</v>
      </c>
      <c r="HC33" s="7">
        <f>(1-GS33-GV33-GU33-GY33-HA33-HB33)*(1-GZ33)</f>
        <v>0.3579532529440681</v>
      </c>
      <c r="HD33" s="7">
        <f>(1-GS33-GV33-GU33-GY33-HA33-HB33)*GZ33</f>
        <v>0.0864322931015956</v>
      </c>
      <c r="HE33" s="7">
        <f>GV33+GS33</f>
        <v>0.05252183137527182</v>
      </c>
      <c r="HF33" s="7"/>
      <c r="HG33" s="16">
        <f>(-0.000000872*HA33)-(0.000000749*HC33)-(0.000000993*HB33)-(0.00000087*(GY33+GU33))-(0.00000086*HE33)-(0.00000087*HD33)</f>
        <v>-8.342376292642263E-07</v>
      </c>
      <c r="HH33" s="16">
        <f>(0.000000000001707*HA33)+(0.000000000000447*HC33)+(0.0000000000014835*HB33)+(0.000000000002171*(GY33+GU33))+(0.000000000002149*HE33)+(0.0000000000002235*HD33)</f>
        <v>1.2239193932600984E-12</v>
      </c>
      <c r="HI33" s="16">
        <f>(0.000027795*HA33)+(0.000024656*HC33)+(0.000031371*HB33)+(0.00002225*(GY33+GU33))+(0.000023118*HE33)+(0.000028232*HD33)</f>
        <v>2.5647420486339646E-05</v>
      </c>
      <c r="HJ33" s="16">
        <f>(0.0000000083082*HA33)+(0.000000007467*HC33)+(0.0000000083672*HB33)+(0.0000000052863*(GY33+GU33))+(0.0000000025785*HE33)+(0.000000007526*HD33)</f>
        <v>7.077553319774635E-09</v>
      </c>
      <c r="HK33" s="7">
        <f>GC33</f>
        <v>2.2430629424616004</v>
      </c>
      <c r="HL33" s="7">
        <f t="shared" si="151"/>
        <v>448.9593210063506</v>
      </c>
      <c r="HM33" s="7">
        <f t="shared" si="152"/>
        <v>9.842259672644317</v>
      </c>
      <c r="HN33" s="7">
        <f t="shared" si="153"/>
        <v>448.9587256266847</v>
      </c>
      <c r="HO33" s="7">
        <f t="shared" si="154"/>
        <v>11.50081941237863</v>
      </c>
      <c r="HP33" s="7">
        <f t="shared" si="155"/>
        <v>11.50081941237863</v>
      </c>
      <c r="HQ33" s="2">
        <f>(1-EG33-EH33-EI33)*(1-0.5*(EC33+EJ33+EH33+EI33))</f>
        <v>0.3490985018651914</v>
      </c>
      <c r="HR33" s="17">
        <f t="shared" si="157"/>
        <v>1255</v>
      </c>
      <c r="HS33" s="17"/>
      <c r="HT33" s="7">
        <f>1.4133+(0.05601*GN33)</f>
        <v>2.0637047597471927</v>
      </c>
      <c r="HU33" s="17">
        <f t="shared" si="159"/>
        <v>1914.0797398534796</v>
      </c>
      <c r="HV33" s="16">
        <f>0.0000329*(0.75-HK33/6)</f>
        <v>1.2375538198835558E-05</v>
      </c>
      <c r="HW33" s="1">
        <f t="shared" si="161"/>
        <v>0.5539679893901944</v>
      </c>
      <c r="HX33" s="1">
        <f>IF(IB33&gt;0,1000*IB33,0)</f>
        <v>20313.854362400263</v>
      </c>
      <c r="HY33" s="16">
        <f t="shared" si="163"/>
        <v>441.8878141352231</v>
      </c>
      <c r="HZ33" s="1">
        <f t="shared" si="164"/>
        <v>-0.12258913669234954</v>
      </c>
      <c r="IA33" s="1">
        <f t="shared" si="165"/>
        <v>12.043675937989628</v>
      </c>
      <c r="IB33" s="4">
        <f>654.472-(1.186*HY33)-(9.14*IA33)</f>
        <v>20.313854362400264</v>
      </c>
      <c r="IC33" s="17">
        <f>IF(IG33&gt;0,1000*IG33,0)</f>
        <v>15302.690283697668</v>
      </c>
      <c r="ID33" s="16">
        <f t="shared" si="168"/>
        <v>443.592747147322</v>
      </c>
      <c r="IE33" s="7">
        <f t="shared" si="169"/>
        <v>-0.09246839329704615</v>
      </c>
      <c r="IF33" s="7">
        <f t="shared" si="170"/>
        <v>12.07379668138493</v>
      </c>
      <c r="IG33" s="4">
        <f t="shared" si="171"/>
        <v>15.302690283697668</v>
      </c>
      <c r="IH33" s="17">
        <f>IF(IL33&gt;0,1000*IL33,0)</f>
        <v>20012.301368905362</v>
      </c>
      <c r="II33" s="4">
        <f t="shared" si="173"/>
        <v>441.98966261001533</v>
      </c>
      <c r="IJ33" s="7">
        <f t="shared" si="174"/>
        <v>-0.12077880202694549</v>
      </c>
      <c r="IK33" s="7">
        <f t="shared" si="175"/>
        <v>12.045486272655031</v>
      </c>
      <c r="IL33" s="4">
        <f t="shared" si="176"/>
        <v>20.012301368905362</v>
      </c>
      <c r="IN33" s="1">
        <f t="shared" si="177"/>
        <v>14.008344148254144</v>
      </c>
      <c r="IO33" s="1">
        <f t="shared" si="178"/>
        <v>16.816063677567456</v>
      </c>
    </row>
    <row r="34" spans="1:249" ht="12.75">
      <c r="A34" s="1" t="s">
        <v>200</v>
      </c>
      <c r="B34" s="85" t="s">
        <v>212</v>
      </c>
      <c r="C34" s="3">
        <v>1.6</v>
      </c>
      <c r="D34" s="3">
        <v>1320</v>
      </c>
      <c r="F34" s="1">
        <v>5210</v>
      </c>
      <c r="G34" s="33">
        <v>47.4</v>
      </c>
      <c r="H34" s="33">
        <v>1.64</v>
      </c>
      <c r="I34" s="33">
        <v>18.6</v>
      </c>
      <c r="J34" s="33">
        <v>11.6</v>
      </c>
      <c r="K34" s="33">
        <v>0.13</v>
      </c>
      <c r="L34" s="33">
        <v>7.07</v>
      </c>
      <c r="M34" s="33">
        <v>8.36</v>
      </c>
      <c r="N34" s="33">
        <v>5.12</v>
      </c>
      <c r="O34" s="33">
        <v>0.27</v>
      </c>
      <c r="P34" s="33">
        <v>0</v>
      </c>
      <c r="Q34" s="33">
        <v>0.34</v>
      </c>
      <c r="R34" s="33">
        <v>0</v>
      </c>
      <c r="S34" s="4">
        <f t="shared" si="2"/>
        <v>100.53</v>
      </c>
      <c r="U34" s="33">
        <v>50.2</v>
      </c>
      <c r="V34" s="33">
        <v>0.63</v>
      </c>
      <c r="W34" s="33">
        <v>10.5</v>
      </c>
      <c r="X34" s="33">
        <v>7.9</v>
      </c>
      <c r="Y34" s="33">
        <v>0.15</v>
      </c>
      <c r="Z34" s="33">
        <v>18.9</v>
      </c>
      <c r="AA34" s="33">
        <v>10.3</v>
      </c>
      <c r="AB34" s="33">
        <v>1.23</v>
      </c>
      <c r="AC34" s="33">
        <v>0</v>
      </c>
      <c r="AD34" s="33">
        <v>0.06</v>
      </c>
      <c r="AF34" s="53">
        <f t="shared" si="179"/>
        <v>1594.1018747026442</v>
      </c>
      <c r="AG34" s="53">
        <f t="shared" si="194"/>
        <v>18.826692554118885</v>
      </c>
      <c r="AI34" s="51">
        <f t="shared" si="3"/>
        <v>1594.1018747026442</v>
      </c>
      <c r="AJ34" s="51">
        <f t="shared" si="264"/>
        <v>1320.951874702644</v>
      </c>
      <c r="AK34" s="51">
        <f t="shared" si="180"/>
        <v>1603.2873949220166</v>
      </c>
      <c r="AL34" s="51">
        <f t="shared" si="265"/>
        <v>1330.1373949220165</v>
      </c>
      <c r="AM34" s="51">
        <f t="shared" si="6"/>
        <v>18.826692554118885</v>
      </c>
      <c r="AN34" s="51"/>
      <c r="AO34" s="51">
        <f t="shared" si="181"/>
        <v>1591.864734422064</v>
      </c>
      <c r="AP34" s="51">
        <f t="shared" si="182"/>
        <v>18.0511498351506</v>
      </c>
      <c r="AQ34" s="51">
        <f t="shared" si="183"/>
        <v>1318.7147344220639</v>
      </c>
      <c r="AR34" s="70"/>
      <c r="AS34" s="90">
        <f t="shared" si="7"/>
        <v>0.25224332168685476</v>
      </c>
      <c r="AT34" s="90">
        <f t="shared" si="8"/>
        <v>0.4486197202654414</v>
      </c>
      <c r="AU34" s="90">
        <f t="shared" si="9"/>
        <v>0.06817856794496104</v>
      </c>
      <c r="AV34" s="90">
        <f t="shared" si="10"/>
        <v>0.0238751321711512</v>
      </c>
      <c r="AW34" s="90">
        <f t="shared" si="11"/>
        <v>0.02449920427062925</v>
      </c>
      <c r="AX34" s="90">
        <f t="shared" si="184"/>
        <v>0</v>
      </c>
      <c r="AY34" s="51">
        <f t="shared" si="185"/>
        <v>0.8174159463390376</v>
      </c>
      <c r="AZ34" s="70"/>
      <c r="BA34" s="90">
        <f t="shared" si="12"/>
        <v>0.21603058489873153</v>
      </c>
      <c r="BB34" s="90">
        <f t="shared" si="0"/>
        <v>0.5163679305093304</v>
      </c>
      <c r="BC34" s="90">
        <f t="shared" si="1"/>
        <v>0.16098363773754326</v>
      </c>
      <c r="BD34" s="90">
        <f t="shared" si="13"/>
        <v>0.08562049717791398</v>
      </c>
      <c r="BE34" s="90">
        <f t="shared" si="14"/>
        <v>0.018353759484161764</v>
      </c>
      <c r="BF34" s="90">
        <f t="shared" si="15"/>
        <v>0.0008515287348139991</v>
      </c>
      <c r="BG34" s="90">
        <f t="shared" si="186"/>
        <v>0.9982079385424949</v>
      </c>
      <c r="BH34" s="90">
        <f t="shared" si="187"/>
        <v>0.254757343550447</v>
      </c>
      <c r="BI34" s="70"/>
      <c r="BJ34" s="51">
        <f t="shared" si="16"/>
        <v>18.28692267555437</v>
      </c>
      <c r="BK34" s="51">
        <f t="shared" si="188"/>
        <v>19.288919417549565</v>
      </c>
      <c r="BL34" s="51">
        <f t="shared" si="17"/>
        <v>1327.927053968821</v>
      </c>
      <c r="BM34" s="51">
        <f t="shared" si="18"/>
        <v>1310.26335452671</v>
      </c>
      <c r="BN34" s="51">
        <f t="shared" si="189"/>
        <v>1310.26335452671</v>
      </c>
      <c r="BO34" s="51"/>
      <c r="BP34" s="51">
        <f t="shared" si="19"/>
        <v>16.907144498508842</v>
      </c>
      <c r="BQ34" s="51">
        <f t="shared" si="20"/>
        <v>15.6034446634442</v>
      </c>
      <c r="BR34" s="51">
        <f t="shared" si="21"/>
        <v>16.66624336893355</v>
      </c>
      <c r="BS34" s="51">
        <f t="shared" si="22"/>
        <v>1333.1631784559577</v>
      </c>
      <c r="BT34" s="71">
        <f t="shared" si="190"/>
        <v>0.3056391403905054</v>
      </c>
      <c r="BU34" s="70"/>
      <c r="BV34" s="51">
        <f t="shared" si="23"/>
        <v>18.824052543943427</v>
      </c>
      <c r="BW34" s="51">
        <f t="shared" si="24"/>
        <v>20.833342595194992</v>
      </c>
      <c r="BX34" s="51">
        <f t="shared" si="25"/>
        <v>1324.8891946093495</v>
      </c>
      <c r="BY34" s="2"/>
      <c r="BZ34" s="1">
        <f t="shared" si="26"/>
        <v>0.7888916072917551</v>
      </c>
      <c r="CA34" s="1">
        <f t="shared" si="27"/>
        <v>0.020531104623504607</v>
      </c>
      <c r="CB34" s="1">
        <f t="shared" si="28"/>
        <v>0.36484538205784567</v>
      </c>
      <c r="CC34" s="1">
        <f t="shared" si="29"/>
        <v>0.16145554961696063</v>
      </c>
      <c r="CD34" s="1">
        <f t="shared" si="30"/>
        <v>0.0018325991189427314</v>
      </c>
      <c r="CE34" s="1">
        <f t="shared" si="31"/>
        <v>0.17541509115630055</v>
      </c>
      <c r="CF34" s="1">
        <f t="shared" si="32"/>
        <v>0.1490796648917389</v>
      </c>
      <c r="CG34" s="1">
        <f t="shared" si="33"/>
        <v>0.1652175175745294</v>
      </c>
      <c r="CH34" s="1">
        <f t="shared" si="34"/>
        <v>0.005732727504352627</v>
      </c>
      <c r="CI34" s="1">
        <f t="shared" si="35"/>
        <v>0</v>
      </c>
      <c r="CJ34" s="1">
        <f t="shared" si="36"/>
        <v>0.004790857915835899</v>
      </c>
      <c r="CK34" s="1">
        <f t="shared" si="266"/>
        <v>1.8377921017517662</v>
      </c>
      <c r="CM34" s="1">
        <f t="shared" si="38"/>
        <v>0.4292605276406352</v>
      </c>
      <c r="CN34" s="1">
        <f t="shared" si="39"/>
        <v>0.011171614353949259</v>
      </c>
      <c r="CO34" s="1">
        <f t="shared" si="40"/>
        <v>0.19852375125025212</v>
      </c>
      <c r="CP34" s="1">
        <f t="shared" si="41"/>
        <v>0.08785300005537226</v>
      </c>
      <c r="CQ34" s="1">
        <f t="shared" si="42"/>
        <v>0.0009971743360937917</v>
      </c>
      <c r="CR34" s="1">
        <f t="shared" si="43"/>
        <v>0.0954488219799707</v>
      </c>
      <c r="CS34" s="1">
        <f t="shared" si="44"/>
        <v>0.08111889519474894</v>
      </c>
      <c r="CT34" s="1">
        <f t="shared" si="45"/>
        <v>0.0899000041501134</v>
      </c>
      <c r="CU34" s="1">
        <f t="shared" si="46"/>
        <v>0.0031193558285990265</v>
      </c>
      <c r="CV34" s="1">
        <f t="shared" si="47"/>
        <v>0</v>
      </c>
      <c r="CW34" s="1">
        <f t="shared" si="48"/>
        <v>0.002606855210265241</v>
      </c>
      <c r="CX34" s="1">
        <f t="shared" si="267"/>
        <v>1</v>
      </c>
      <c r="CZ34" s="1">
        <f t="shared" si="50"/>
        <v>0.8354927992836731</v>
      </c>
      <c r="DA34" s="1">
        <f t="shared" si="51"/>
        <v>0.007886948727321893</v>
      </c>
      <c r="DB34" s="1">
        <f t="shared" si="52"/>
        <v>0.10298055138729514</v>
      </c>
      <c r="DC34" s="1">
        <f t="shared" si="53"/>
        <v>0.1099567967218956</v>
      </c>
      <c r="DD34" s="1">
        <f t="shared" si="54"/>
        <v>0.0021145374449339205</v>
      </c>
      <c r="DE34" s="1">
        <f t="shared" si="55"/>
        <v>0.46893143180397173</v>
      </c>
      <c r="DF34" s="1">
        <f t="shared" si="56"/>
        <v>0.1836747067446066</v>
      </c>
      <c r="DG34" s="1">
        <f t="shared" si="57"/>
        <v>0.01984546353678429</v>
      </c>
      <c r="DH34" s="1">
        <f t="shared" si="58"/>
        <v>0</v>
      </c>
      <c r="DI34" s="1">
        <f t="shared" si="59"/>
        <v>0.00039474151667585536</v>
      </c>
      <c r="DJ34" s="1">
        <f t="shared" si="268"/>
        <v>1.731277977167158</v>
      </c>
      <c r="DL34" s="1">
        <f t="shared" si="201"/>
        <v>1.6709855985673463</v>
      </c>
      <c r="DM34" s="1">
        <f t="shared" si="201"/>
        <v>0.015773897454643786</v>
      </c>
      <c r="DN34" s="1">
        <f t="shared" si="269"/>
        <v>0.30894165416188546</v>
      </c>
      <c r="DO34" s="1">
        <f t="shared" si="203"/>
        <v>0.1099567967218956</v>
      </c>
      <c r="DP34" s="1">
        <f t="shared" si="203"/>
        <v>0.0021145374449339205</v>
      </c>
      <c r="DQ34" s="1">
        <f t="shared" si="203"/>
        <v>0.46893143180397173</v>
      </c>
      <c r="DR34" s="1">
        <f t="shared" si="204"/>
        <v>0.1836747067446066</v>
      </c>
      <c r="DS34" s="1">
        <f t="shared" si="204"/>
        <v>0.01984546353678429</v>
      </c>
      <c r="DT34" s="1">
        <f t="shared" si="204"/>
        <v>0</v>
      </c>
      <c r="DU34" s="1">
        <f t="shared" si="270"/>
        <v>0.001184224550027566</v>
      </c>
      <c r="DV34" s="1">
        <f t="shared" si="271"/>
        <v>2.7814083109860954</v>
      </c>
      <c r="DW34" s="1">
        <f t="shared" si="272"/>
        <v>2.15718058233342</v>
      </c>
      <c r="DY34" s="1">
        <f t="shared" si="67"/>
        <v>1.8023088432941332</v>
      </c>
      <c r="DZ34" s="1">
        <f t="shared" si="68"/>
        <v>0.017013572648438068</v>
      </c>
      <c r="EA34" s="1">
        <f t="shared" si="273"/>
        <v>0.1976911567058668</v>
      </c>
      <c r="EB34" s="1">
        <f>IF(EC34-EA34&lt;0,0,EC34-EA34)</f>
        <v>0.24660413491545724</v>
      </c>
      <c r="EC34" s="1">
        <f t="shared" si="71"/>
        <v>0.44429529162132403</v>
      </c>
      <c r="ED34" s="1">
        <f t="shared" si="72"/>
        <v>0.23719666678405624</v>
      </c>
      <c r="EE34" s="1">
        <f t="shared" si="73"/>
        <v>0.004561439116828376</v>
      </c>
      <c r="EF34" s="1">
        <f t="shared" si="74"/>
        <v>1.0115697791333362</v>
      </c>
      <c r="EG34" s="1">
        <f t="shared" si="75"/>
        <v>0.3962195108552506</v>
      </c>
      <c r="EH34" s="1">
        <f t="shared" si="76"/>
        <v>0.08562049717791398</v>
      </c>
      <c r="EI34" s="1">
        <f t="shared" si="77"/>
        <v>0</v>
      </c>
      <c r="EJ34" s="1">
        <f t="shared" si="78"/>
        <v>0.0017030574696279982</v>
      </c>
      <c r="EK34" s="1">
        <f>DY34+DZ34+EC34+ED34+EE34+EF34+EG34+EH34+EI34+EJ34</f>
        <v>4.000488658100909</v>
      </c>
      <c r="EL34" s="1">
        <f>IF(EH34+EA34-EB34-2*DZ34-EJ34&gt;0,EH34+EA34-EB34-2*DZ34-EJ34,0)</f>
        <v>0.0009773162018193924</v>
      </c>
      <c r="EM34" s="1">
        <f>12-48/EK34</f>
        <v>0.0014657952345480396</v>
      </c>
      <c r="EN34" s="1">
        <f t="shared" si="274"/>
        <v>0.08562049717791398</v>
      </c>
      <c r="EO34" s="1">
        <f t="shared" si="275"/>
        <v>0.16098363773754326</v>
      </c>
      <c r="EP34" s="1">
        <f t="shared" si="276"/>
        <v>0.018353759484161764</v>
      </c>
      <c r="EQ34" s="1">
        <f t="shared" si="277"/>
        <v>0.0008515287348139991</v>
      </c>
      <c r="ER34" s="2">
        <f>IF(EG34-EP34-EO34-EQ34&gt;0,EG34-EP34-EO34-EQ34,0)</f>
        <v>0.21603058489873153</v>
      </c>
      <c r="ES34" s="1">
        <f t="shared" si="278"/>
        <v>0.5163679305093304</v>
      </c>
      <c r="ET34" s="1">
        <f t="shared" si="279"/>
        <v>0.9982079385424949</v>
      </c>
      <c r="EU34" s="1">
        <f t="shared" si="280"/>
        <v>0.21603058489873156</v>
      </c>
      <c r="EV34" s="1">
        <f t="shared" si="281"/>
        <v>3.2594557598999017</v>
      </c>
      <c r="EW34" s="1">
        <f t="shared" si="282"/>
        <v>-1.1080520058473153</v>
      </c>
      <c r="EX34" s="1">
        <f t="shared" si="283"/>
        <v>-1.1080520058473153</v>
      </c>
      <c r="EY34" s="1">
        <f t="shared" si="284"/>
        <v>0.5207194392293981</v>
      </c>
      <c r="EZ34" s="84">
        <f t="shared" si="191"/>
        <v>1594.1018747026442</v>
      </c>
      <c r="FA34" s="84">
        <f t="shared" si="192"/>
        <v>18.826692554118885</v>
      </c>
      <c r="FB34" s="1">
        <f t="shared" si="193"/>
        <v>0.15941018747026442</v>
      </c>
      <c r="FC34" s="2">
        <f t="shared" si="94"/>
        <v>-0.6166123810583274</v>
      </c>
      <c r="FD34" s="2">
        <f t="shared" si="95"/>
        <v>5.648405485522274</v>
      </c>
      <c r="FE34" s="1">
        <f t="shared" si="96"/>
        <v>17.552491187748487</v>
      </c>
      <c r="FF34" s="1">
        <f>(1-EG34-EH34-EI34)*(1-0.5*(EC34+EJ34+EH34+EI34))</f>
        <v>0.38042818341078843</v>
      </c>
      <c r="FG34" s="2"/>
      <c r="FH34" s="2">
        <f t="shared" si="98"/>
        <v>18.16103766497007</v>
      </c>
      <c r="FI34" s="2">
        <f t="shared" si="99"/>
        <v>0.30544228287844816</v>
      </c>
      <c r="FJ34" s="2">
        <f>(ED34/EF34)/(CP34/CR34)</f>
        <v>0.254757343550447</v>
      </c>
      <c r="FK34" s="1">
        <f>EG34+EH34+EE34</f>
        <v>0.48640144714999295</v>
      </c>
      <c r="FL34" s="1">
        <f>EB34+DZ34+EJ34+EL34</f>
        <v>0.2662980812353427</v>
      </c>
      <c r="FM34" s="1">
        <f>EXP(0.238*FL34+0.289*FK34-2.3315)</f>
        <v>0.11912867846622109</v>
      </c>
      <c r="FN34" s="1">
        <f>1-DZ34-EB34</f>
        <v>0.7363822924361048</v>
      </c>
      <c r="FO34" s="1">
        <f t="shared" si="105"/>
        <v>0.5114068372794682</v>
      </c>
      <c r="FP34" s="1">
        <f>ED34-EL34</f>
        <v>0.23621935058223684</v>
      </c>
      <c r="FQ34" s="1">
        <f>1-FM34</f>
        <v>0.8808713215337789</v>
      </c>
      <c r="FR34" s="1">
        <f t="shared" si="108"/>
        <v>0.8091405575335805</v>
      </c>
      <c r="FS34" s="1">
        <f>-FP34*(1-FK34)</f>
        <v>-0.12132191661420533</v>
      </c>
      <c r="FT34" s="1">
        <f>(-FR34+SQRT(FR34^2-4*FQ34*FS34))/2*FQ34</f>
        <v>0.10180246619120846</v>
      </c>
      <c r="FU34" s="1">
        <f>FT34</f>
        <v>0.10180246619120846</v>
      </c>
      <c r="FV34" s="1">
        <f>FP34-FU34</f>
        <v>0.1344168843910284</v>
      </c>
      <c r="FW34" s="1">
        <f>1-FK34-FU34</f>
        <v>0.41179608665879863</v>
      </c>
      <c r="FX34" s="1">
        <f t="shared" si="114"/>
        <v>0.5997736924745376</v>
      </c>
      <c r="FY34" s="1">
        <f t="shared" si="115"/>
        <v>0.3962195108552506</v>
      </c>
      <c r="FZ34" s="1">
        <f t="shared" si="116"/>
        <v>0.08562049717791398</v>
      </c>
      <c r="GA34" s="1">
        <f t="shared" si="117"/>
        <v>426.30627368121907</v>
      </c>
      <c r="GB34" s="1">
        <f t="shared" si="118"/>
        <v>11.545343822800138</v>
      </c>
      <c r="GC34" s="1">
        <f t="shared" si="119"/>
        <v>2.284288970085598</v>
      </c>
      <c r="GD34" s="1">
        <f>32.9*(0.75*GC34/6)*(10^-6)</f>
        <v>9.39413838947702E-06</v>
      </c>
      <c r="GE34" s="1">
        <f>7500*GC34/((1.4133+0.05601*GB34)^3)</f>
        <v>1959.924272242968</v>
      </c>
      <c r="GF34" s="1">
        <f t="shared" si="122"/>
        <v>0.42919346762364863</v>
      </c>
      <c r="GG34" s="2">
        <f t="shared" si="123"/>
        <v>29.640868368933553</v>
      </c>
      <c r="GH34" s="4">
        <f>IG34</f>
        <v>21.97513839283462</v>
      </c>
      <c r="GI34" s="4">
        <f>IL34</f>
        <v>28.460544285646137</v>
      </c>
      <c r="GJ34" s="4">
        <f t="shared" si="126"/>
        <v>5.390000000000001</v>
      </c>
      <c r="GK34" s="4">
        <f t="shared" si="127"/>
        <v>3.775309440000008</v>
      </c>
      <c r="GL34" s="4">
        <f>IF(GJ34&gt;GK34,GI34,GH34)</f>
        <v>28.460544285646137</v>
      </c>
      <c r="GM34" s="1">
        <f t="shared" si="243"/>
        <v>426.30627368121907</v>
      </c>
      <c r="GN34" s="1">
        <f t="shared" si="243"/>
        <v>11.545343822800138</v>
      </c>
      <c r="GO34" s="4">
        <f>771.475-(1.323*GM34)-(16.064*GN34)</f>
        <v>22.007396750285807</v>
      </c>
      <c r="GP34" s="4"/>
      <c r="GQ34" s="7">
        <f t="shared" si="131"/>
        <v>0.24078078969906525</v>
      </c>
      <c r="GR34" s="7">
        <f>FW34+FX34</f>
        <v>1.0115697791333362</v>
      </c>
      <c r="GS34" s="7">
        <f>IF(EH34&gt;EL34,EL34,EH34)</f>
        <v>0.0009773162018193924</v>
      </c>
      <c r="GT34" s="7">
        <f t="shared" si="134"/>
        <v>0.08464318097609459</v>
      </c>
      <c r="GU34" s="7">
        <f t="shared" si="135"/>
        <v>0</v>
      </c>
      <c r="GV34" s="7">
        <f t="shared" si="136"/>
        <v>0.08464318097609459</v>
      </c>
      <c r="GW34" s="7">
        <f>GT34-GV34</f>
        <v>0</v>
      </c>
      <c r="GX34" s="7">
        <f t="shared" si="138"/>
        <v>0.16196095393936266</v>
      </c>
      <c r="GY34" s="7">
        <f t="shared" si="139"/>
        <v>0.19769115670586682</v>
      </c>
      <c r="GZ34" s="7">
        <f>GQ34/(GQ34+GR34)</f>
        <v>0.19226308965831457</v>
      </c>
      <c r="HA34" s="7">
        <f t="shared" si="141"/>
        <v>0.16035867939584317</v>
      </c>
      <c r="HB34" s="7">
        <f t="shared" si="142"/>
        <v>0.0381696747535406</v>
      </c>
      <c r="HC34" s="7">
        <f>(1-GS34-GV34-GU34-GY34-HA34-HB34)*(1-GZ34)</f>
        <v>0.4185369509739642</v>
      </c>
      <c r="HD34" s="7">
        <f>(1-GS34-GV34-GU34-GY34-HA34-HB34)*GZ34</f>
        <v>0.09962304099287125</v>
      </c>
      <c r="HE34" s="7">
        <f>GV34+GS34</f>
        <v>0.08562049717791398</v>
      </c>
      <c r="HF34" s="7"/>
      <c r="HG34" s="16">
        <f>(-0.000000872*HA34)-(0.000000749*HC34)-(0.000000993*HB34)-(0.00000087*(GY34+GU34))-(0.00000086*HE34)-(0.00000087*HD34)</f>
        <v>-8.235164113138484E-07</v>
      </c>
      <c r="HH34" s="16">
        <f>(0.000000000001707*HA34)+(0.000000000000447*HC34)+(0.0000000000014835*HB34)+(0.000000000002171*(GY34+GU34))+(0.000000000002149*HE34)+(0.0000000000002235*HD34)</f>
        <v>1.1528946946166244E-12</v>
      </c>
      <c r="HI34" s="16">
        <f>(0.000027795*HA34)+(0.000024656*HC34)+(0.000031371*HB34)+(0.00002225*(GY34+GU34))+(0.000023118*HE34)+(0.000028232*HD34)</f>
        <v>2.5164598007490137E-05</v>
      </c>
      <c r="HJ34" s="16">
        <f>(0.0000000083082*HA34)+(0.000000007467*HC34)+(0.0000000083672*HB34)+(0.0000000052863*(GY34+GU34))+(0.0000000025785*HE34)+(0.000000007526*HD34)</f>
        <v>6.792470915856783E-09</v>
      </c>
      <c r="HK34" s="7">
        <f>GC34</f>
        <v>2.284288970085598</v>
      </c>
      <c r="HL34" s="7">
        <f t="shared" si="151"/>
        <v>445.0498798107604</v>
      </c>
      <c r="HM34" s="7">
        <f t="shared" si="152"/>
        <v>14.37021469459577</v>
      </c>
      <c r="HN34" s="7">
        <f t="shared" si="153"/>
        <v>445.04904592997826</v>
      </c>
      <c r="HO34" s="7">
        <f t="shared" si="154"/>
        <v>16.745571748869654</v>
      </c>
      <c r="HP34" s="7">
        <f t="shared" si="155"/>
        <v>16.745571748869654</v>
      </c>
      <c r="HQ34" s="2">
        <f>(1-EG34-EH34-EI34)*(1-0.5*(EC34+EJ34+EH34+EI34))</f>
        <v>0.38042818341078843</v>
      </c>
      <c r="HR34" s="17">
        <f t="shared" si="157"/>
        <v>1295</v>
      </c>
      <c r="HS34" s="17"/>
      <c r="HT34" s="7">
        <f>1.4133+(0.05601*GN34)</f>
        <v>2.0599547075150357</v>
      </c>
      <c r="HU34" s="17">
        <f t="shared" si="159"/>
        <v>1959.924272242968</v>
      </c>
      <c r="HV34" s="16">
        <f>0.0000329*(0.75-HK34/6)</f>
        <v>1.214948214736397E-05</v>
      </c>
      <c r="HW34" s="1">
        <f t="shared" si="161"/>
        <v>0.5581206027565482</v>
      </c>
      <c r="HX34" s="1">
        <f>IF(IB34&gt;0,1000*IB34,0)</f>
        <v>29257.922146798108</v>
      </c>
      <c r="HY34" s="16">
        <f t="shared" si="163"/>
        <v>435.2040643687891</v>
      </c>
      <c r="HZ34" s="1">
        <f t="shared" si="164"/>
        <v>-0.1710730128851292</v>
      </c>
      <c r="IA34" s="1">
        <f t="shared" si="165"/>
        <v>11.932391412671556</v>
      </c>
      <c r="IB34" s="4">
        <f>654.472-(1.186*HY34)-(9.14*IA34)</f>
        <v>29.25792214679811</v>
      </c>
      <c r="IC34" s="17">
        <f>IF(IG34&gt;0,1000*IG34,0)</f>
        <v>21975.13839283462</v>
      </c>
      <c r="ID34" s="16">
        <f t="shared" si="168"/>
        <v>437.5774498070238</v>
      </c>
      <c r="IE34" s="7">
        <f t="shared" si="169"/>
        <v>-0.128727486924835</v>
      </c>
      <c r="IF34" s="7">
        <f t="shared" si="170"/>
        <v>11.974736938631851</v>
      </c>
      <c r="IG34" s="4">
        <f t="shared" si="171"/>
        <v>21.97513839283462</v>
      </c>
      <c r="IH34" s="17">
        <f>IF(IL34&gt;0,1000*IL34,0)</f>
        <v>28460.544285646138</v>
      </c>
      <c r="II34" s="4">
        <f t="shared" si="173"/>
        <v>435.4613801027468</v>
      </c>
      <c r="IJ34" s="7">
        <f t="shared" si="174"/>
        <v>-0.1664442989512978</v>
      </c>
      <c r="IK34" s="7">
        <f t="shared" si="175"/>
        <v>11.937020126605388</v>
      </c>
      <c r="IL34" s="4">
        <f t="shared" si="176"/>
        <v>28.460544285646137</v>
      </c>
      <c r="IN34" s="1">
        <f t="shared" si="177"/>
        <v>16.6252078573283</v>
      </c>
      <c r="IO34" s="1">
        <f t="shared" si="178"/>
        <v>18.211403989384152</v>
      </c>
    </row>
    <row r="35" spans="1:249" ht="12.75">
      <c r="A35" s="1" t="s">
        <v>200</v>
      </c>
      <c r="B35" s="85" t="s">
        <v>213</v>
      </c>
      <c r="C35" s="3">
        <v>1.6</v>
      </c>
      <c r="D35" s="3">
        <v>1345</v>
      </c>
      <c r="F35" s="1">
        <v>5211</v>
      </c>
      <c r="G35" s="33">
        <v>47.5</v>
      </c>
      <c r="H35" s="33">
        <v>1.22</v>
      </c>
      <c r="I35" s="33">
        <v>16</v>
      </c>
      <c r="J35" s="33">
        <v>8.46</v>
      </c>
      <c r="K35" s="33">
        <v>0.19</v>
      </c>
      <c r="L35" s="33">
        <v>11.7</v>
      </c>
      <c r="M35" s="33">
        <v>10.7</v>
      </c>
      <c r="N35" s="33">
        <v>3.03</v>
      </c>
      <c r="O35" s="33">
        <v>0.15</v>
      </c>
      <c r="P35" s="33">
        <v>0.03</v>
      </c>
      <c r="Q35" s="33">
        <v>0.13</v>
      </c>
      <c r="R35" s="33">
        <v>0</v>
      </c>
      <c r="S35" s="4">
        <f t="shared" si="2"/>
        <v>99.11000000000001</v>
      </c>
      <c r="U35" s="33">
        <v>52.5</v>
      </c>
      <c r="V35" s="33">
        <v>0.31</v>
      </c>
      <c r="W35" s="33">
        <v>7.48</v>
      </c>
      <c r="X35" s="33">
        <v>5.94</v>
      </c>
      <c r="Y35" s="33">
        <v>0.15</v>
      </c>
      <c r="Z35" s="33">
        <v>23.5</v>
      </c>
      <c r="AA35" s="33">
        <v>10.4</v>
      </c>
      <c r="AB35" s="33">
        <v>0.58</v>
      </c>
      <c r="AC35" s="33">
        <v>0</v>
      </c>
      <c r="AD35" s="33">
        <v>0.09</v>
      </c>
      <c r="AF35" s="53">
        <f t="shared" si="179"/>
        <v>1641.5803853195055</v>
      </c>
      <c r="AG35" s="53">
        <f t="shared" si="194"/>
        <v>16.86129565450878</v>
      </c>
      <c r="AI35" s="51">
        <f t="shared" si="3"/>
        <v>1641.5803853195055</v>
      </c>
      <c r="AJ35" s="51">
        <f t="shared" si="264"/>
        <v>1368.4303853195056</v>
      </c>
      <c r="AK35" s="51">
        <f t="shared" si="180"/>
        <v>1638.193548271332</v>
      </c>
      <c r="AL35" s="51">
        <f t="shared" si="265"/>
        <v>1365.043548271332</v>
      </c>
      <c r="AM35" s="51">
        <f t="shared" si="6"/>
        <v>16.86129565450878</v>
      </c>
      <c r="AN35" s="51"/>
      <c r="AO35" s="51">
        <f t="shared" si="181"/>
        <v>1677.1231767933743</v>
      </c>
      <c r="AP35" s="51">
        <f t="shared" si="182"/>
        <v>16.798456884411646</v>
      </c>
      <c r="AQ35" s="51">
        <f t="shared" si="183"/>
        <v>1403.9731767933745</v>
      </c>
      <c r="AR35" s="70"/>
      <c r="AS35" s="90">
        <f t="shared" si="7"/>
        <v>0.22612252868154456</v>
      </c>
      <c r="AT35" s="90">
        <f t="shared" si="8"/>
        <v>0.5156031144062129</v>
      </c>
      <c r="AU35" s="90">
        <f t="shared" si="9"/>
        <v>0.06401428200805395</v>
      </c>
      <c r="AV35" s="90">
        <f t="shared" si="10"/>
        <v>0.013624120231223485</v>
      </c>
      <c r="AW35" s="90">
        <f t="shared" si="11"/>
        <v>0.013028109785353946</v>
      </c>
      <c r="AX35" s="90">
        <f t="shared" si="184"/>
        <v>0.0007685167844492253</v>
      </c>
      <c r="AY35" s="51">
        <f t="shared" si="185"/>
        <v>0.8331606718968381</v>
      </c>
      <c r="AZ35" s="70"/>
      <c r="BA35" s="90">
        <f t="shared" si="12"/>
        <v>0.2553579569045384</v>
      </c>
      <c r="BB35" s="90">
        <f t="shared" si="0"/>
        <v>0.5756071582778637</v>
      </c>
      <c r="BC35" s="90">
        <f t="shared" si="1"/>
        <v>0.11655633324587691</v>
      </c>
      <c r="BD35" s="90">
        <f t="shared" si="13"/>
        <v>0.0395432174949528</v>
      </c>
      <c r="BE35" s="90">
        <f t="shared" si="14"/>
        <v>0.018669806626288962</v>
      </c>
      <c r="BF35" s="90">
        <f t="shared" si="15"/>
        <v>0.0012510133460054457</v>
      </c>
      <c r="BG35" s="90">
        <f t="shared" si="186"/>
        <v>1.0069854858955263</v>
      </c>
      <c r="BH35" s="90">
        <f t="shared" si="187"/>
        <v>0.3495699411498416</v>
      </c>
      <c r="BI35" s="70"/>
      <c r="BJ35" s="51">
        <f t="shared" si="16"/>
        <v>16.42207448044378</v>
      </c>
      <c r="BK35" s="51">
        <f t="shared" si="188"/>
        <v>17.299675680384667</v>
      </c>
      <c r="BL35" s="51">
        <f t="shared" si="17"/>
        <v>1380.7595570146068</v>
      </c>
      <c r="BM35" s="51">
        <f t="shared" si="18"/>
        <v>1356.8651541690333</v>
      </c>
      <c r="BN35" s="51">
        <f t="shared" si="189"/>
        <v>1356.8651541690333</v>
      </c>
      <c r="BO35" s="51"/>
      <c r="BP35" s="51">
        <f t="shared" si="19"/>
        <v>17.697865069970703</v>
      </c>
      <c r="BQ35" s="51">
        <f t="shared" si="20"/>
        <v>15.491308875116676</v>
      </c>
      <c r="BR35" s="51">
        <f t="shared" si="21"/>
        <v>17.376720906386133</v>
      </c>
      <c r="BS35" s="51">
        <f t="shared" si="22"/>
        <v>1343.249275857488</v>
      </c>
      <c r="BT35" s="71">
        <f t="shared" si="190"/>
        <v>0.31532178091915025</v>
      </c>
      <c r="BU35" s="70"/>
      <c r="BV35" s="51">
        <f t="shared" si="23"/>
        <v>14.263261595608537</v>
      </c>
      <c r="BW35" s="51">
        <f t="shared" si="24"/>
        <v>16.354333149151337</v>
      </c>
      <c r="BX35" s="51">
        <f t="shared" si="25"/>
        <v>1390.6775355361956</v>
      </c>
      <c r="BY35" s="2"/>
      <c r="BZ35" s="1">
        <f t="shared" si="26"/>
        <v>0.7905559355771807</v>
      </c>
      <c r="CA35" s="1">
        <f t="shared" si="27"/>
        <v>0.015273138805290014</v>
      </c>
      <c r="CB35" s="1">
        <f t="shared" si="28"/>
        <v>0.3138454899422328</v>
      </c>
      <c r="CC35" s="1">
        <f t="shared" si="29"/>
        <v>0.11775120256547301</v>
      </c>
      <c r="CD35" s="1">
        <f t="shared" si="30"/>
        <v>0.0026784140969162997</v>
      </c>
      <c r="CE35" s="1">
        <f t="shared" si="31"/>
        <v>0.29029088635483963</v>
      </c>
      <c r="CF35" s="1">
        <f t="shared" si="32"/>
        <v>0.19080770506478545</v>
      </c>
      <c r="CG35" s="1">
        <f t="shared" si="33"/>
        <v>0.09777521059586407</v>
      </c>
      <c r="CH35" s="1">
        <f t="shared" si="34"/>
        <v>0.003184848613529237</v>
      </c>
      <c r="CI35" s="1">
        <f t="shared" si="35"/>
        <v>0.00039474151667585536</v>
      </c>
      <c r="CJ35" s="1">
        <f t="shared" si="36"/>
        <v>0.001831798614878432</v>
      </c>
      <c r="CK35" s="1">
        <f t="shared" si="266"/>
        <v>1.8243893717476656</v>
      </c>
      <c r="CM35" s="1">
        <f t="shared" si="38"/>
        <v>0.43332632157348694</v>
      </c>
      <c r="CN35" s="1">
        <f t="shared" si="39"/>
        <v>0.008371644256324065</v>
      </c>
      <c r="CO35" s="1">
        <f t="shared" si="40"/>
        <v>0.17202769036172685</v>
      </c>
      <c r="CP35" s="1">
        <f t="shared" si="41"/>
        <v>0.06454280231454855</v>
      </c>
      <c r="CQ35" s="1">
        <f t="shared" si="42"/>
        <v>0.0014681153806276152</v>
      </c>
      <c r="CR35" s="1">
        <f t="shared" si="43"/>
        <v>0.1591167383729915</v>
      </c>
      <c r="CS35" s="1">
        <f t="shared" si="44"/>
        <v>0.10458716106310248</v>
      </c>
      <c r="CT35" s="1">
        <f t="shared" si="45"/>
        <v>0.053593389717130804</v>
      </c>
      <c r="CU35" s="1">
        <f t="shared" si="46"/>
        <v>0.0017457066253780715</v>
      </c>
      <c r="CV35" s="1">
        <f t="shared" si="47"/>
        <v>0.0002163691165870554</v>
      </c>
      <c r="CW35" s="1">
        <f t="shared" si="48"/>
        <v>0.001004061218096041</v>
      </c>
      <c r="CX35" s="1">
        <f t="shared" si="267"/>
        <v>1</v>
      </c>
      <c r="CZ35" s="1">
        <f t="shared" si="50"/>
        <v>0.873772349848463</v>
      </c>
      <c r="DA35" s="1">
        <f t="shared" si="51"/>
        <v>0.003880879532491725</v>
      </c>
      <c r="DB35" s="1">
        <f t="shared" si="52"/>
        <v>0.07336138327399692</v>
      </c>
      <c r="DC35" s="1">
        <f t="shared" si="53"/>
        <v>0.08267637626937467</v>
      </c>
      <c r="DD35" s="1">
        <f t="shared" si="54"/>
        <v>0.0021145374449339205</v>
      </c>
      <c r="DE35" s="1">
        <f t="shared" si="55"/>
        <v>0.5830628913964728</v>
      </c>
      <c r="DF35" s="1">
        <f t="shared" si="56"/>
        <v>0.1854579563246513</v>
      </c>
      <c r="DG35" s="1">
        <f t="shared" si="57"/>
        <v>0.009358023456369827</v>
      </c>
      <c r="DH35" s="1">
        <f t="shared" si="58"/>
        <v>0</v>
      </c>
      <c r="DI35" s="1">
        <f t="shared" si="59"/>
        <v>0.000592112275013783</v>
      </c>
      <c r="DJ35" s="1">
        <f t="shared" si="268"/>
        <v>1.814276509821768</v>
      </c>
      <c r="DL35" s="1">
        <f t="shared" si="201"/>
        <v>1.747544699696926</v>
      </c>
      <c r="DM35" s="1">
        <f t="shared" si="201"/>
        <v>0.00776175906498345</v>
      </c>
      <c r="DN35" s="1">
        <f t="shared" si="269"/>
        <v>0.22008414982199076</v>
      </c>
      <c r="DO35" s="1">
        <f t="shared" si="203"/>
        <v>0.08267637626937467</v>
      </c>
      <c r="DP35" s="1">
        <f t="shared" si="203"/>
        <v>0.0021145374449339205</v>
      </c>
      <c r="DQ35" s="1">
        <f t="shared" si="203"/>
        <v>0.5830628913964728</v>
      </c>
      <c r="DR35" s="1">
        <f t="shared" si="204"/>
        <v>0.1854579563246513</v>
      </c>
      <c r="DS35" s="1">
        <f t="shared" si="204"/>
        <v>0.009358023456369827</v>
      </c>
      <c r="DT35" s="1">
        <f t="shared" si="204"/>
        <v>0</v>
      </c>
      <c r="DU35" s="1">
        <f t="shared" si="270"/>
        <v>0.001776336825041349</v>
      </c>
      <c r="DV35" s="1">
        <f t="shared" si="271"/>
        <v>2.839836730300744</v>
      </c>
      <c r="DW35" s="1">
        <f t="shared" si="272"/>
        <v>2.1127975196533884</v>
      </c>
      <c r="DY35" s="1">
        <f t="shared" si="67"/>
        <v>1.8461040535015452</v>
      </c>
      <c r="DZ35" s="1">
        <f t="shared" si="68"/>
        <v>0.008199512650322118</v>
      </c>
      <c r="EA35" s="1">
        <f t="shared" si="273"/>
        <v>0.15389594649845484</v>
      </c>
      <c r="EB35" s="1">
        <f>IF(EC35-EA35&lt;0,0,EC35-EA35)</f>
        <v>0.1560995507408297</v>
      </c>
      <c r="EC35" s="1">
        <f t="shared" si="71"/>
        <v>0.30999549723928455</v>
      </c>
      <c r="ED35" s="1">
        <f t="shared" si="72"/>
        <v>0.17467844271586505</v>
      </c>
      <c r="EE35" s="1">
        <f t="shared" si="73"/>
        <v>0.0044675894688706004</v>
      </c>
      <c r="EF35" s="1">
        <f t="shared" si="74"/>
        <v>1.2318938307444007</v>
      </c>
      <c r="EG35" s="1">
        <f t="shared" si="75"/>
        <v>0.3918351101227097</v>
      </c>
      <c r="EH35" s="1">
        <f t="shared" si="76"/>
        <v>0.0395432174949528</v>
      </c>
      <c r="EI35" s="1">
        <f t="shared" si="77"/>
        <v>0</v>
      </c>
      <c r="EJ35" s="1">
        <f t="shared" si="78"/>
        <v>0.0025020266920108914</v>
      </c>
      <c r="EK35" s="1">
        <f>DY35+DZ35+EC35+ED35+EE35+EF35+EG35+EH35+EI35+EJ35</f>
        <v>4.009219280629961</v>
      </c>
      <c r="EL35" s="1">
        <f>IF(EH35+EA35-EB35-2*DZ35-EJ35&gt;0,EH35+EA35-EB35-2*DZ35-EJ35,0)</f>
        <v>0.018438561259922798</v>
      </c>
      <c r="EM35" s="1">
        <f>12-48/EK35</f>
        <v>0.027594242124402868</v>
      </c>
      <c r="EN35" s="1">
        <f t="shared" si="274"/>
        <v>0.0395432174949528</v>
      </c>
      <c r="EO35" s="1">
        <f t="shared" si="275"/>
        <v>0.11655633324587691</v>
      </c>
      <c r="EP35" s="1">
        <f t="shared" si="276"/>
        <v>0.018669806626288962</v>
      </c>
      <c r="EQ35" s="1">
        <f t="shared" si="277"/>
        <v>0.0012510133460054457</v>
      </c>
      <c r="ER35" s="2">
        <f>IF(EG35-EP35-EO35-EQ35&gt;0,EG35-EP35-EO35-EQ35,0)</f>
        <v>0.2553579569045384</v>
      </c>
      <c r="ES35" s="1">
        <f t="shared" si="278"/>
        <v>0.5756071582778637</v>
      </c>
      <c r="ET35" s="1">
        <f t="shared" si="279"/>
        <v>1.0069854858955263</v>
      </c>
      <c r="EU35" s="1">
        <f t="shared" si="280"/>
        <v>0.25535795690453833</v>
      </c>
      <c r="EV35" s="1">
        <f t="shared" si="281"/>
        <v>3.1285966885812386</v>
      </c>
      <c r="EW35" s="1">
        <f t="shared" si="282"/>
        <v>-0.9342075255247005</v>
      </c>
      <c r="EX35" s="1">
        <f t="shared" si="283"/>
        <v>-0.9342075255247004</v>
      </c>
      <c r="EY35" s="1">
        <f t="shared" si="284"/>
        <v>0.7114238806172054</v>
      </c>
      <c r="EZ35" s="84">
        <f t="shared" si="191"/>
        <v>1641.5803853195055</v>
      </c>
      <c r="FA35" s="84">
        <f t="shared" si="192"/>
        <v>16.86129565450878</v>
      </c>
      <c r="FB35" s="1">
        <f t="shared" si="193"/>
        <v>0.16415803853195055</v>
      </c>
      <c r="FC35" s="2">
        <f t="shared" si="94"/>
        <v>-0.8227521794183953</v>
      </c>
      <c r="FD35" s="2">
        <f t="shared" si="95"/>
        <v>5.651489491800892</v>
      </c>
      <c r="FE35" s="1">
        <f t="shared" si="96"/>
        <v>15.32084561426455</v>
      </c>
      <c r="FF35" s="1">
        <f>(1-EG35-EH35-EI35)*(1-0.5*(EC35+EJ35+EH35+EI35))</f>
        <v>0.46853267481408173</v>
      </c>
      <c r="FG35" s="2"/>
      <c r="FH35" s="2">
        <f t="shared" si="98"/>
        <v>19.09506031673048</v>
      </c>
      <c r="FI35" s="2">
        <f t="shared" si="99"/>
        <v>0.31057673975208155</v>
      </c>
      <c r="FJ35" s="2">
        <f>(ED35/EF35)/(CP35/CR35)</f>
        <v>0.3495699411498416</v>
      </c>
      <c r="FK35" s="1">
        <f>EG35+EH35+EE35</f>
        <v>0.43584591708653314</v>
      </c>
      <c r="FL35" s="1">
        <f>EB35+DZ35+EJ35+EL35</f>
        <v>0.1852396513430855</v>
      </c>
      <c r="FM35" s="1">
        <f>EXP(0.238*FL35+0.289*FK35-2.3315)</f>
        <v>0.11515761854989102</v>
      </c>
      <c r="FN35" s="1">
        <f>1-DZ35-EB35</f>
        <v>0.8357009366088481</v>
      </c>
      <c r="FO35" s="1">
        <f t="shared" si="105"/>
        <v>0.5524327755914948</v>
      </c>
      <c r="FP35" s="1">
        <f>ED35-EL35</f>
        <v>0.15623988145594225</v>
      </c>
      <c r="FQ35" s="1">
        <f>1-FM35</f>
        <v>0.884842381450109</v>
      </c>
      <c r="FR35" s="1">
        <f t="shared" si="108"/>
        <v>0.7972892835407241</v>
      </c>
      <c r="FS35" s="1">
        <f>-FP35*(1-FK35)</f>
        <v>-0.08814336703728587</v>
      </c>
      <c r="FT35" s="1">
        <f>(-FR35+SQRT(FR35^2-4*FQ35*FS35))/2*FQ35</f>
        <v>0.07794569785656011</v>
      </c>
      <c r="FU35" s="1">
        <f>FT35</f>
        <v>0.07794569785656011</v>
      </c>
      <c r="FV35" s="1">
        <f>FP35-FU35</f>
        <v>0.07829418359938214</v>
      </c>
      <c r="FW35" s="1">
        <f>1-FK35-FU35</f>
        <v>0.48620838505690667</v>
      </c>
      <c r="FX35" s="1">
        <f t="shared" si="114"/>
        <v>0.7456854456874941</v>
      </c>
      <c r="FY35" s="1">
        <f t="shared" si="115"/>
        <v>0.3918351101227097</v>
      </c>
      <c r="FZ35" s="1">
        <f t="shared" si="116"/>
        <v>0.0395432174949528</v>
      </c>
      <c r="GA35" s="1">
        <f t="shared" si="117"/>
        <v>425.99627114751814</v>
      </c>
      <c r="GB35" s="1">
        <f t="shared" si="118"/>
        <v>11.878253704062649</v>
      </c>
      <c r="GC35" s="1">
        <f t="shared" si="119"/>
        <v>2.211877725253331</v>
      </c>
      <c r="GD35" s="1">
        <f>32.9*(0.75*GC35/6)*(10^-6)</f>
        <v>9.096347145104323E-06</v>
      </c>
      <c r="GE35" s="1">
        <f>7500*GC35/((1.4133+0.05601*GB35)^3)</f>
        <v>1847.1790277316456</v>
      </c>
      <c r="GF35" s="1">
        <f t="shared" si="122"/>
        <v>0.43572059008883185</v>
      </c>
      <c r="GG35" s="2">
        <f t="shared" si="123"/>
        <v>30.351345906386133</v>
      </c>
      <c r="GH35" s="4">
        <f>IG35</f>
        <v>17.4261852358171</v>
      </c>
      <c r="GI35" s="4">
        <f>IL35</f>
        <v>23.27546834762859</v>
      </c>
      <c r="GJ35" s="4">
        <f t="shared" si="126"/>
        <v>3.1799999999999997</v>
      </c>
      <c r="GK35" s="4">
        <f t="shared" si="127"/>
        <v>3.8158125</v>
      </c>
      <c r="GL35" s="4">
        <f>IF(GJ35&gt;GK35,GI35,GH35)</f>
        <v>17.4261852358171</v>
      </c>
      <c r="GM35" s="1">
        <f t="shared" si="243"/>
        <v>425.99627114751814</v>
      </c>
      <c r="GN35" s="1">
        <f t="shared" si="243"/>
        <v>11.878253704062649</v>
      </c>
      <c r="GO35" s="4">
        <f>771.475-(1.323*GM35)-(16.064*GN35)</f>
        <v>17.06966576977115</v>
      </c>
      <c r="GP35" s="4"/>
      <c r="GQ35" s="7">
        <f t="shared" si="131"/>
        <v>0.16070747092481286</v>
      </c>
      <c r="GR35" s="7">
        <f>FW35+FX35</f>
        <v>1.2318938307444007</v>
      </c>
      <c r="GS35" s="7">
        <f>IF(EH35&gt;EL35,EL35,EH35)</f>
        <v>0.018438561259922798</v>
      </c>
      <c r="GT35" s="7">
        <f t="shared" si="134"/>
        <v>0.021104656235030002</v>
      </c>
      <c r="GU35" s="7">
        <f t="shared" si="135"/>
        <v>0</v>
      </c>
      <c r="GV35" s="7">
        <f t="shared" si="136"/>
        <v>0.021104656235030002</v>
      </c>
      <c r="GW35" s="7">
        <f>GT35-GV35</f>
        <v>0</v>
      </c>
      <c r="GX35" s="7">
        <f t="shared" si="138"/>
        <v>0.1349948945057997</v>
      </c>
      <c r="GY35" s="7">
        <f t="shared" si="139"/>
        <v>0.15389594649845484</v>
      </c>
      <c r="GZ35" s="7">
        <f>GQ35/(GQ35+GR35)</f>
        <v>0.11540091965459466</v>
      </c>
      <c r="HA35" s="7">
        <f t="shared" si="141"/>
        <v>0.2104807653201708</v>
      </c>
      <c r="HB35" s="7">
        <f t="shared" si="142"/>
        <v>0.02745839830408409</v>
      </c>
      <c r="HC35" s="7">
        <f>(1-GS35-GV35-GU35-GY35-HA35-HB35)*(1-GZ35)</f>
        <v>0.503002208453882</v>
      </c>
      <c r="HD35" s="7">
        <f>(1-GS35-GV35-GU35-GY35-HA35-HB35)*GZ35</f>
        <v>0.06561946392845537</v>
      </c>
      <c r="HE35" s="7">
        <f>GV35+GS35</f>
        <v>0.0395432174949528</v>
      </c>
      <c r="HF35" s="7"/>
      <c r="HG35" s="16">
        <f>(-0.000000872*HA35)-(0.000000749*HC35)-(0.000000993*HB35)-(0.00000087*(GY35+GU35))-(0.00000086*HE35)-(0.00000087*HD35)</f>
        <v>-8.125396451241734E-07</v>
      </c>
      <c r="HH35" s="16">
        <f>(0.000000000001707*HA35)+(0.000000000000447*HC35)+(0.0000000000014835*HB35)+(0.000000000002171*(GY35+GU35))+(0.000000000002149*HE35)+(0.0000000000002235*HD35)</f>
        <v>1.0586196118973343E-12</v>
      </c>
      <c r="HI35" s="16">
        <f>(0.000027795*HA35)+(0.000024656*HC35)+(0.000031371*HB35)+(0.00002225*(GY35+GU35))+(0.000023118*HE35)+(0.000028232*HD35)</f>
        <v>2.5304646354177578E-05</v>
      </c>
      <c r="HJ35" s="16">
        <f>(0.0000000083082*HA35)+(0.000000007467*HC35)+(0.0000000083672*HB35)+(0.0000000052863*(GY35+GU35))+(0.0000000025785*HE35)+(0.000000007526*HD35)</f>
        <v>7.1437381090591855E-09</v>
      </c>
      <c r="HK35" s="7">
        <f>GC35</f>
        <v>2.211877725253331</v>
      </c>
      <c r="HL35" s="7">
        <f t="shared" si="151"/>
        <v>445.5239708304854</v>
      </c>
      <c r="HM35" s="7">
        <f t="shared" si="152"/>
        <v>11.459818457542875</v>
      </c>
      <c r="HN35" s="7">
        <f t="shared" si="153"/>
        <v>445.52315436533166</v>
      </c>
      <c r="HO35" s="7">
        <f t="shared" si="154"/>
        <v>13.81867537540978</v>
      </c>
      <c r="HP35" s="7">
        <f t="shared" si="155"/>
        <v>11.459818457542875</v>
      </c>
      <c r="HQ35" s="2">
        <f>(1-EG35-EH35-EI35)*(1-0.5*(EC35+EJ35+EH35+EI35))</f>
        <v>0.46853267481408173</v>
      </c>
      <c r="HR35" s="17">
        <f t="shared" si="157"/>
        <v>1320</v>
      </c>
      <c r="HS35" s="17"/>
      <c r="HT35" s="7">
        <f>1.4133+(0.05601*GN35)</f>
        <v>2.078600989964549</v>
      </c>
      <c r="HU35" s="17">
        <f t="shared" si="159"/>
        <v>1847.1790277316456</v>
      </c>
      <c r="HV35" s="16">
        <f>0.0000329*(0.75-HK35/6)</f>
        <v>1.2546537139860902E-05</v>
      </c>
      <c r="HW35" s="1">
        <f t="shared" si="161"/>
        <v>0.6051969566334606</v>
      </c>
      <c r="HX35" s="1">
        <f>IF(IB35&gt;0,1000*IB35,0)</f>
        <v>22063.252886305876</v>
      </c>
      <c r="HY35" s="16">
        <f t="shared" si="163"/>
        <v>438.1105133551373</v>
      </c>
      <c r="HZ35" s="1">
        <f t="shared" si="164"/>
        <v>-0.14103509455811025</v>
      </c>
      <c r="IA35" s="1">
        <f t="shared" si="165"/>
        <v>12.342415566137998</v>
      </c>
      <c r="IB35" s="4">
        <f>654.472-(1.186*HY35)-(9.14*IA35)</f>
        <v>22.063252886305875</v>
      </c>
      <c r="IC35" s="17">
        <f>IF(IG35&gt;0,1000*IG35,0)</f>
        <v>17426.1852358171</v>
      </c>
      <c r="ID35" s="16">
        <f t="shared" si="168"/>
        <v>439.6330035656443</v>
      </c>
      <c r="IE35" s="7">
        <f t="shared" si="169"/>
        <v>-0.1115326947376877</v>
      </c>
      <c r="IF35" s="7">
        <f t="shared" si="170"/>
        <v>12.37191796595842</v>
      </c>
      <c r="IG35" s="4">
        <f t="shared" si="171"/>
        <v>17.4261852358171</v>
      </c>
      <c r="IH35" s="17">
        <f>IF(IL35&gt;0,1000*IL35,0)</f>
        <v>23275.46834762859</v>
      </c>
      <c r="II35" s="4">
        <f t="shared" si="173"/>
        <v>437.7157038149753</v>
      </c>
      <c r="IJ35" s="7">
        <f t="shared" si="174"/>
        <v>-0.14873543416436807</v>
      </c>
      <c r="IK35" s="7">
        <f t="shared" si="175"/>
        <v>12.33471522653174</v>
      </c>
      <c r="IL35" s="4">
        <f t="shared" si="176"/>
        <v>23.27546834762859</v>
      </c>
      <c r="IN35" s="1">
        <f t="shared" si="177"/>
        <v>16.269216048084104</v>
      </c>
      <c r="IO35" s="1">
        <f t="shared" si="178"/>
        <v>15.540564616460287</v>
      </c>
    </row>
    <row r="36" spans="1:249" ht="12.75">
      <c r="A36" s="1" t="s">
        <v>200</v>
      </c>
      <c r="B36" s="85" t="s">
        <v>214</v>
      </c>
      <c r="C36" s="3">
        <v>1.6</v>
      </c>
      <c r="D36" s="3">
        <v>1340</v>
      </c>
      <c r="F36" s="1">
        <v>5213</v>
      </c>
      <c r="G36" s="33">
        <v>47.3</v>
      </c>
      <c r="H36" s="33">
        <v>1.42</v>
      </c>
      <c r="I36" s="33">
        <v>17.8</v>
      </c>
      <c r="J36" s="33">
        <v>9.92</v>
      </c>
      <c r="K36" s="33">
        <v>0.16</v>
      </c>
      <c r="L36" s="33">
        <v>8.9</v>
      </c>
      <c r="M36" s="33">
        <v>9.94</v>
      </c>
      <c r="N36" s="33">
        <v>3.86</v>
      </c>
      <c r="O36" s="33">
        <v>0.22</v>
      </c>
      <c r="P36" s="33">
        <v>0.03</v>
      </c>
      <c r="Q36" s="33">
        <v>0.32</v>
      </c>
      <c r="R36" s="33">
        <v>0</v>
      </c>
      <c r="S36" s="4">
        <f t="shared" si="2"/>
        <v>99.86999999999999</v>
      </c>
      <c r="U36" s="33">
        <v>51.5</v>
      </c>
      <c r="V36" s="33">
        <v>0.49</v>
      </c>
      <c r="W36" s="33">
        <v>8.97</v>
      </c>
      <c r="X36" s="33">
        <v>6.53</v>
      </c>
      <c r="Y36" s="33">
        <v>0.18</v>
      </c>
      <c r="Z36" s="33">
        <v>20.9</v>
      </c>
      <c r="AA36" s="33">
        <v>11.1</v>
      </c>
      <c r="AB36" s="33">
        <v>0.74</v>
      </c>
      <c r="AC36" s="33">
        <v>0</v>
      </c>
      <c r="AD36" s="33">
        <v>0.08</v>
      </c>
      <c r="AF36" s="53">
        <f t="shared" si="179"/>
        <v>1597.8156263981552</v>
      </c>
      <c r="AG36" s="53">
        <f t="shared" si="194"/>
        <v>15.974622610642625</v>
      </c>
      <c r="AI36" s="51">
        <f t="shared" si="3"/>
        <v>1597.8156263981552</v>
      </c>
      <c r="AJ36" s="51">
        <f t="shared" si="264"/>
        <v>1324.6656263981554</v>
      </c>
      <c r="AK36" s="51">
        <f t="shared" si="180"/>
        <v>1600.262128892661</v>
      </c>
      <c r="AL36" s="51">
        <f t="shared" si="265"/>
        <v>1327.112128892661</v>
      </c>
      <c r="AM36" s="51">
        <f t="shared" si="6"/>
        <v>15.974622610642625</v>
      </c>
      <c r="AN36" s="51"/>
      <c r="AO36" s="51">
        <f t="shared" si="181"/>
        <v>1614.2001937358837</v>
      </c>
      <c r="AP36" s="51">
        <f t="shared" si="182"/>
        <v>15.495909254681651</v>
      </c>
      <c r="AQ36" s="51">
        <f t="shared" si="183"/>
        <v>1341.0501937358836</v>
      </c>
      <c r="AR36" s="70"/>
      <c r="AS36" s="90">
        <f t="shared" si="7"/>
        <v>0.26414141994223056</v>
      </c>
      <c r="AT36" s="90">
        <f t="shared" si="8"/>
        <v>0.4628216962113205</v>
      </c>
      <c r="AU36" s="90">
        <f t="shared" si="9"/>
        <v>0.07019150560884142</v>
      </c>
      <c r="AV36" s="90">
        <f t="shared" si="10"/>
        <v>0.017840868879190133</v>
      </c>
      <c r="AW36" s="90">
        <f t="shared" si="11"/>
        <v>0.018894028419559054</v>
      </c>
      <c r="AX36" s="90">
        <f t="shared" si="184"/>
        <v>0.0007073449127585117</v>
      </c>
      <c r="AY36" s="51">
        <f t="shared" si="185"/>
        <v>0.8345968639739001</v>
      </c>
      <c r="AZ36" s="70"/>
      <c r="BA36" s="90">
        <f t="shared" si="12"/>
        <v>0.25881420231313906</v>
      </c>
      <c r="BB36" s="90">
        <f t="shared" si="0"/>
        <v>0.5203434062549909</v>
      </c>
      <c r="BC36" s="90">
        <f t="shared" si="1"/>
        <v>0.15189565650717263</v>
      </c>
      <c r="BD36" s="90">
        <f t="shared" si="13"/>
        <v>0.050916904209801106</v>
      </c>
      <c r="BE36" s="90">
        <f t="shared" si="14"/>
        <v>0.010232786811440076</v>
      </c>
      <c r="BF36" s="90">
        <f t="shared" si="15"/>
        <v>0.001122265677729698</v>
      </c>
      <c r="BG36" s="90">
        <f t="shared" si="186"/>
        <v>0.9933252217742734</v>
      </c>
      <c r="BH36" s="90">
        <f t="shared" si="187"/>
        <v>0.2803142846118229</v>
      </c>
      <c r="BI36" s="70"/>
      <c r="BJ36" s="51">
        <f t="shared" si="16"/>
        <v>15.267202837656662</v>
      </c>
      <c r="BK36" s="51">
        <f t="shared" si="188"/>
        <v>16.585907564454132</v>
      </c>
      <c r="BL36" s="51">
        <f t="shared" si="17"/>
        <v>1334.25225812912</v>
      </c>
      <c r="BM36" s="51">
        <f t="shared" si="18"/>
        <v>1315.7568423107941</v>
      </c>
      <c r="BN36" s="51">
        <f t="shared" si="189"/>
        <v>1315.7568423107941</v>
      </c>
      <c r="BO36" s="51"/>
      <c r="BP36" s="51">
        <f t="shared" si="19"/>
        <v>15.24196954463514</v>
      </c>
      <c r="BQ36" s="51">
        <f t="shared" si="20"/>
        <v>14.423538901929378</v>
      </c>
      <c r="BR36" s="51">
        <f t="shared" si="21"/>
        <v>14.807697036943432</v>
      </c>
      <c r="BS36" s="51">
        <f t="shared" si="22"/>
        <v>1325.1153452674207</v>
      </c>
      <c r="BT36" s="71">
        <f t="shared" si="190"/>
        <v>0.306406147410219</v>
      </c>
      <c r="BU36" s="70"/>
      <c r="BV36" s="51">
        <f t="shared" si="23"/>
        <v>16.107602464960344</v>
      </c>
      <c r="BW36" s="51">
        <f t="shared" si="24"/>
        <v>18.03777807580691</v>
      </c>
      <c r="BX36" s="51">
        <f t="shared" si="25"/>
        <v>1356.4451987293883</v>
      </c>
      <c r="BY36" s="2"/>
      <c r="BZ36" s="1">
        <f t="shared" si="26"/>
        <v>0.7872272790063294</v>
      </c>
      <c r="CA36" s="1">
        <f t="shared" si="27"/>
        <v>0.01777693205205887</v>
      </c>
      <c r="CB36" s="1">
        <f t="shared" si="28"/>
        <v>0.34915310756073403</v>
      </c>
      <c r="CC36" s="1">
        <f t="shared" si="29"/>
        <v>0.1380723320862284</v>
      </c>
      <c r="CD36" s="1">
        <f t="shared" si="30"/>
        <v>0.0022555066079295153</v>
      </c>
      <c r="CE36" s="1">
        <f t="shared" si="31"/>
        <v>0.22081956312462164</v>
      </c>
      <c r="CF36" s="1">
        <f t="shared" si="32"/>
        <v>0.17725500825644555</v>
      </c>
      <c r="CG36" s="1">
        <f t="shared" si="33"/>
        <v>0.12455851910892254</v>
      </c>
      <c r="CH36" s="1">
        <f t="shared" si="34"/>
        <v>0.004671111299842881</v>
      </c>
      <c r="CI36" s="1">
        <f t="shared" si="35"/>
        <v>0.00039474151667585536</v>
      </c>
      <c r="CJ36" s="1">
        <f t="shared" si="36"/>
        <v>0.00450904274431614</v>
      </c>
      <c r="CK36" s="1">
        <f t="shared" si="266"/>
        <v>1.826693143364105</v>
      </c>
      <c r="CM36" s="1">
        <f t="shared" si="38"/>
        <v>0.4309575923389863</v>
      </c>
      <c r="CN36" s="1">
        <f t="shared" si="39"/>
        <v>0.009731756051440704</v>
      </c>
      <c r="CO36" s="1">
        <f t="shared" si="40"/>
        <v>0.19113944168954447</v>
      </c>
      <c r="CP36" s="1">
        <f t="shared" si="41"/>
        <v>0.07558594752917797</v>
      </c>
      <c r="CQ36" s="1">
        <f t="shared" si="42"/>
        <v>0.0012347484940878968</v>
      </c>
      <c r="CR36" s="1">
        <f t="shared" si="43"/>
        <v>0.1208848699776429</v>
      </c>
      <c r="CS36" s="1">
        <f t="shared" si="44"/>
        <v>0.09703600678656199</v>
      </c>
      <c r="CT36" s="1">
        <f t="shared" si="45"/>
        <v>0.06818798196150834</v>
      </c>
      <c r="CU36" s="1">
        <f t="shared" si="46"/>
        <v>0.002557140654308469</v>
      </c>
      <c r="CV36" s="1">
        <f t="shared" si="47"/>
        <v>0.0002160962382269005</v>
      </c>
      <c r="CW36" s="1">
        <f t="shared" si="48"/>
        <v>0.002468418278513994</v>
      </c>
      <c r="CX36" s="1">
        <f t="shared" si="267"/>
        <v>1</v>
      </c>
      <c r="CZ36" s="1">
        <f t="shared" si="50"/>
        <v>0.8571290669942064</v>
      </c>
      <c r="DA36" s="1">
        <f t="shared" si="51"/>
        <v>0.006134293454583694</v>
      </c>
      <c r="DB36" s="1">
        <f t="shared" si="52"/>
        <v>0.08797481389943214</v>
      </c>
      <c r="DC36" s="1">
        <f t="shared" si="53"/>
        <v>0.09088833956885801</v>
      </c>
      <c r="DD36" s="1">
        <f t="shared" si="54"/>
        <v>0.002537444933920705</v>
      </c>
      <c r="DE36" s="1">
        <f t="shared" si="55"/>
        <v>0.5185538055398418</v>
      </c>
      <c r="DF36" s="1">
        <f t="shared" si="56"/>
        <v>0.19794070338496436</v>
      </c>
      <c r="DG36" s="1">
        <f t="shared" si="57"/>
        <v>0.01193954716847185</v>
      </c>
      <c r="DH36" s="1">
        <f t="shared" si="58"/>
        <v>0</v>
      </c>
      <c r="DI36" s="1">
        <f t="shared" si="59"/>
        <v>0.0005263220222344739</v>
      </c>
      <c r="DJ36" s="1">
        <f t="shared" si="268"/>
        <v>1.7736243369665132</v>
      </c>
      <c r="DL36" s="1">
        <f t="shared" si="201"/>
        <v>1.7142581339884129</v>
      </c>
      <c r="DM36" s="1">
        <f t="shared" si="201"/>
        <v>0.012268586909167389</v>
      </c>
      <c r="DN36" s="1">
        <f t="shared" si="269"/>
        <v>0.26392444169829643</v>
      </c>
      <c r="DO36" s="1">
        <f t="shared" si="203"/>
        <v>0.09088833956885801</v>
      </c>
      <c r="DP36" s="1">
        <f t="shared" si="203"/>
        <v>0.002537444933920705</v>
      </c>
      <c r="DQ36" s="1">
        <f t="shared" si="203"/>
        <v>0.5185538055398418</v>
      </c>
      <c r="DR36" s="1">
        <f t="shared" si="204"/>
        <v>0.19794070338496436</v>
      </c>
      <c r="DS36" s="1">
        <f t="shared" si="204"/>
        <v>0.01193954716847185</v>
      </c>
      <c r="DT36" s="1">
        <f t="shared" si="204"/>
        <v>0</v>
      </c>
      <c r="DU36" s="1">
        <f t="shared" si="270"/>
        <v>0.0015789660667034217</v>
      </c>
      <c r="DV36" s="1">
        <f t="shared" si="271"/>
        <v>2.813889969258637</v>
      </c>
      <c r="DW36" s="1">
        <f t="shared" si="272"/>
        <v>2.132279536708677</v>
      </c>
      <c r="DY36" s="1">
        <f t="shared" si="67"/>
        <v>1.8276387698699472</v>
      </c>
      <c r="DZ36" s="1">
        <f t="shared" si="68"/>
        <v>0.01308002840537479</v>
      </c>
      <c r="EA36" s="1">
        <f t="shared" si="273"/>
        <v>0.17236123013005278</v>
      </c>
      <c r="EB36" s="1">
        <f>IF(EC36-EA36&lt;0,0,EC36-EA36)</f>
        <v>0.20281256071697373</v>
      </c>
      <c r="EC36" s="1">
        <f t="shared" si="71"/>
        <v>0.3751737908470265</v>
      </c>
      <c r="ED36" s="1">
        <f t="shared" si="72"/>
        <v>0.1937993465881055</v>
      </c>
      <c r="EE36" s="1">
        <f t="shared" si="73"/>
        <v>0.00541054190812422</v>
      </c>
      <c r="EF36" s="1">
        <f t="shared" si="74"/>
        <v>1.1057016682350151</v>
      </c>
      <c r="EG36" s="1">
        <f t="shared" si="75"/>
        <v>0.4220649113094815</v>
      </c>
      <c r="EH36" s="1">
        <f t="shared" si="76"/>
        <v>0.050916904209801106</v>
      </c>
      <c r="EI36" s="1">
        <f t="shared" si="77"/>
        <v>0</v>
      </c>
      <c r="EJ36" s="1">
        <f t="shared" si="78"/>
        <v>0.002244531355459396</v>
      </c>
      <c r="EK36" s="1">
        <f>DY36+DZ36+EC36+ED36+EE36+EF36+EG36+EH36+EI36+EJ36</f>
        <v>3.996030492728335</v>
      </c>
      <c r="EL36" s="1">
        <f>IF(EH36+EA36-EB36-2*DZ36-EJ36&gt;0,EH36+EA36-EB36-2*DZ36-EJ36,0)</f>
        <v>0</v>
      </c>
      <c r="EM36" s="1">
        <f>12-48/EK36</f>
        <v>-0.011920351295280796</v>
      </c>
      <c r="EN36" s="1">
        <f t="shared" si="274"/>
        <v>0.050916904209801106</v>
      </c>
      <c r="EO36" s="1">
        <f t="shared" si="275"/>
        <v>0.15189565650717263</v>
      </c>
      <c r="EP36" s="1">
        <f t="shared" si="276"/>
        <v>0.010232786811440076</v>
      </c>
      <c r="EQ36" s="1">
        <f t="shared" si="277"/>
        <v>0.001122265677729698</v>
      </c>
      <c r="ER36" s="2">
        <f>IF(EG36-EP36-EO36-EQ36&gt;0,EG36-EP36-EO36-EQ36,0)</f>
        <v>0.25881420231313906</v>
      </c>
      <c r="ES36" s="1">
        <f t="shared" si="278"/>
        <v>0.5203434062549909</v>
      </c>
      <c r="ET36" s="1">
        <f t="shared" si="279"/>
        <v>0.9933252217742734</v>
      </c>
      <c r="EU36" s="1">
        <f t="shared" si="280"/>
        <v>0.25881420231313906</v>
      </c>
      <c r="EV36" s="1">
        <f t="shared" si="281"/>
        <v>3.0461698737837963</v>
      </c>
      <c r="EW36" s="1">
        <f t="shared" si="282"/>
        <v>-1.2455909961364016</v>
      </c>
      <c r="EX36" s="1">
        <f t="shared" si="283"/>
        <v>-1.2455909961364016</v>
      </c>
      <c r="EY36" s="1">
        <f t="shared" si="284"/>
        <v>0.6152815543379421</v>
      </c>
      <c r="EZ36" s="84">
        <f t="shared" si="191"/>
        <v>1597.8156263981552</v>
      </c>
      <c r="FA36" s="1">
        <f>10*C36</f>
        <v>16</v>
      </c>
      <c r="FB36" s="1">
        <f t="shared" si="193"/>
        <v>0.15978156263981552</v>
      </c>
      <c r="FC36" s="2">
        <f t="shared" si="94"/>
        <v>-0.3108863379777784</v>
      </c>
      <c r="FD36" s="2">
        <f t="shared" si="95"/>
        <v>5.642115503425054</v>
      </c>
      <c r="FE36" s="1">
        <f t="shared" si="96"/>
        <v>16.57811680440378</v>
      </c>
      <c r="FF36" s="1">
        <f>(1-EG36-EH36-EI36)*(1-0.5*(EC36+EJ36+EH36+EI36))</f>
        <v>0.4141479577942472</v>
      </c>
      <c r="FG36" s="2"/>
      <c r="FH36" s="2">
        <f t="shared" si="98"/>
        <v>19.17299868995429</v>
      </c>
      <c r="FI36" s="2">
        <f t="shared" si="99"/>
        <v>0.30955578505195047</v>
      </c>
      <c r="FJ36" s="2">
        <f>(ED36/EF36)/(CP36/CR36)</f>
        <v>0.2803142846118229</v>
      </c>
      <c r="FK36" s="1">
        <f>EG36+EH36+EE36</f>
        <v>0.4783923574274068</v>
      </c>
      <c r="FL36" s="1">
        <f>EB36+DZ36+EJ36+EL36</f>
        <v>0.21813712047780792</v>
      </c>
      <c r="FM36" s="1">
        <f>EXP(0.238*FL36+0.289*FK36-2.3315)</f>
        <v>0.11749870414290482</v>
      </c>
      <c r="FN36" s="1">
        <f>1-DZ36-EB36</f>
        <v>0.7841074108776515</v>
      </c>
      <c r="FO36" s="1">
        <f t="shared" si="105"/>
        <v>0.5153936039454693</v>
      </c>
      <c r="FP36" s="1">
        <f>ED36-EL36</f>
        <v>0.1937993465881055</v>
      </c>
      <c r="FQ36" s="1">
        <f>1-FM36</f>
        <v>0.8825012958570951</v>
      </c>
      <c r="FR36" s="1">
        <f t="shared" si="108"/>
        <v>0.7840372802736458</v>
      </c>
      <c r="FS36" s="1">
        <f>-FP36*(1-FK36)</f>
        <v>-0.10108722030593063</v>
      </c>
      <c r="FT36" s="1">
        <f>(-FR36+SQRT(FR36^2-4*FQ36*FS36))/2*FQ36</f>
        <v>0.08897225135693049</v>
      </c>
      <c r="FU36" s="1">
        <f>FT36</f>
        <v>0.08897225135693049</v>
      </c>
      <c r="FV36" s="1">
        <f>FP36-FU36</f>
        <v>0.104827095231175</v>
      </c>
      <c r="FW36" s="1">
        <f>1-FK36-FU36</f>
        <v>0.4326353912156627</v>
      </c>
      <c r="FX36" s="1">
        <f t="shared" si="114"/>
        <v>0.6730662770193525</v>
      </c>
      <c r="FY36" s="1">
        <f t="shared" si="115"/>
        <v>0.4220649113094815</v>
      </c>
      <c r="FZ36" s="1">
        <f t="shared" si="116"/>
        <v>0.050916904209801106</v>
      </c>
      <c r="GA36" s="1">
        <f t="shared" si="117"/>
        <v>426.8479212566163</v>
      </c>
      <c r="GB36" s="1">
        <f t="shared" si="118"/>
        <v>11.68960581774361</v>
      </c>
      <c r="GC36" s="1">
        <f t="shared" si="119"/>
        <v>2.2232781343398536</v>
      </c>
      <c r="GD36" s="1">
        <f>32.9*(0.75*GC36/6)*(10^-6)</f>
        <v>9.143231327472648E-06</v>
      </c>
      <c r="GE36" s="1">
        <f>7500*GC36/((1.4133+0.05601*GB36)^3)</f>
        <v>1885.3045627282852</v>
      </c>
      <c r="GF36" s="1">
        <f t="shared" si="122"/>
        <v>0.42938867305302286</v>
      </c>
      <c r="GG36" s="2">
        <f t="shared" si="123"/>
        <v>27.782322036943423</v>
      </c>
      <c r="GH36" s="4">
        <f>IG36</f>
        <v>18.313880355133026</v>
      </c>
      <c r="GI36" s="4">
        <f>IL36</f>
        <v>24.002246935778338</v>
      </c>
      <c r="GJ36" s="4">
        <f t="shared" si="126"/>
        <v>4.08</v>
      </c>
      <c r="GK36" s="4">
        <f t="shared" si="127"/>
        <v>3.734645020000009</v>
      </c>
      <c r="GL36" s="4">
        <f>IF(GJ36&gt;GK36,GI36,GH36)</f>
        <v>24.002246935778338</v>
      </c>
      <c r="GM36" s="1">
        <f t="shared" si="243"/>
        <v>426.8479212566163</v>
      </c>
      <c r="GN36" s="1">
        <f t="shared" si="243"/>
        <v>11.68960581774361</v>
      </c>
      <c r="GO36" s="4">
        <f>771.475-(1.323*GM36)-(16.064*GN36)</f>
        <v>18.973372321263355</v>
      </c>
      <c r="GP36" s="4"/>
      <c r="GQ36" s="7">
        <f t="shared" si="131"/>
        <v>0.19920988849622973</v>
      </c>
      <c r="GR36" s="7">
        <f>FW36+FX36</f>
        <v>1.1057016682350151</v>
      </c>
      <c r="GS36" s="7">
        <f>IF(EH36&gt;EL36,EL36,EH36)</f>
        <v>0</v>
      </c>
      <c r="GT36" s="7">
        <f t="shared" si="134"/>
        <v>0.050916904209801106</v>
      </c>
      <c r="GU36" s="7">
        <f t="shared" si="135"/>
        <v>0</v>
      </c>
      <c r="GV36" s="7">
        <f t="shared" si="136"/>
        <v>0.050916904209801106</v>
      </c>
      <c r="GW36" s="7">
        <f>GT36-GV36</f>
        <v>0</v>
      </c>
      <c r="GX36" s="7">
        <f t="shared" si="138"/>
        <v>0.15189565650717263</v>
      </c>
      <c r="GY36" s="7">
        <f t="shared" si="139"/>
        <v>0.18030024467338163</v>
      </c>
      <c r="GZ36" s="7">
        <f>GQ36/(GQ36+GR36)</f>
        <v>0.15266160182935548</v>
      </c>
      <c r="HA36" s="7">
        <f t="shared" si="141"/>
        <v>0.2048564853616927</v>
      </c>
      <c r="HB36" s="7">
        <f t="shared" si="142"/>
        <v>0.03690818127440714</v>
      </c>
      <c r="HC36" s="7">
        <f>(1-GS36-GV36-GU36-GY36-HA36-HB36)*(1-GZ36)</f>
        <v>0.44656274424469233</v>
      </c>
      <c r="HD36" s="7">
        <f>(1-GS36-GV36-GU36-GY36-HA36-HB36)*GZ36</f>
        <v>0.0804554402360251</v>
      </c>
      <c r="HE36" s="7">
        <f>GV36+GS36</f>
        <v>0.050916904209801106</v>
      </c>
      <c r="HF36" s="7"/>
      <c r="HG36" s="16">
        <f>(-0.000000872*HA36)-(0.000000749*HC36)-(0.000000993*HB36)-(0.00000087*(GY36+GU36))-(0.00000086*HE36)-(0.00000087*HD36)</f>
        <v>-8.204061581717697E-07</v>
      </c>
      <c r="HH36" s="16">
        <f>(0.000000000001707*HA36)+(0.000000000000447*HC36)+(0.0000000000014835*HB36)+(0.000000000002171*(GY36+GU36))+(0.000000000002149*HE36)+(0.0000000000002235*HD36)</f>
        <v>1.1228909033358958E-12</v>
      </c>
      <c r="HI36" s="16">
        <f>(0.000027795*HA36)+(0.000024656*HC36)+(0.000031371*HB36)+(0.00002225*(GY36+GU36))+(0.000023118*HE36)+(0.000028232*HD36)</f>
        <v>2.532247901173319E-05</v>
      </c>
      <c r="HJ36" s="16">
        <f>(0.0000000083082*HA36)+(0.000000007467*HC36)+(0.0000000083672*HB36)+(0.0000000052863*(GY36+GU36))+(0.0000000025785*HE36)+(0.000000007526*HD36)</f>
        <v>7.035208861454547E-09</v>
      </c>
      <c r="HK36" s="7">
        <f>GC36</f>
        <v>2.2232781343398536</v>
      </c>
      <c r="HL36" s="7">
        <f t="shared" si="151"/>
        <v>446.25017217008656</v>
      </c>
      <c r="HM36" s="7">
        <f t="shared" si="152"/>
        <v>11.950436218472158</v>
      </c>
      <c r="HN36" s="7">
        <f t="shared" si="153"/>
        <v>446.2494323209529</v>
      </c>
      <c r="HO36" s="7">
        <f t="shared" si="154"/>
        <v>14.06322727254759</v>
      </c>
      <c r="HP36" s="7">
        <f t="shared" si="155"/>
        <v>14.06322727254759</v>
      </c>
      <c r="HQ36" s="2">
        <f>(1-EG36-EH36-EI36)*(1-0.5*(EC36+EJ36+EH36+EI36))</f>
        <v>0.4141479577942472</v>
      </c>
      <c r="HR36" s="17">
        <f t="shared" si="157"/>
        <v>1315</v>
      </c>
      <c r="HS36" s="17"/>
      <c r="HT36" s="7">
        <f>1.4133+(0.05601*GN36)</f>
        <v>2.0680348218518194</v>
      </c>
      <c r="HU36" s="17">
        <f t="shared" si="159"/>
        <v>1885.3045627282852</v>
      </c>
      <c r="HV36" s="16">
        <f>0.0000329*(0.75-HK36/6)</f>
        <v>1.2484024896703137E-05</v>
      </c>
      <c r="HW36" s="1">
        <f t="shared" si="161"/>
        <v>0.59024153079913</v>
      </c>
      <c r="HX36" s="1">
        <f>IF(IB36&gt;0,1000*IB36,0)</f>
        <v>23943.12995791462</v>
      </c>
      <c r="HY36" s="16">
        <f t="shared" si="163"/>
        <v>438.14451605236826</v>
      </c>
      <c r="HZ36" s="1">
        <f t="shared" si="164"/>
        <v>-0.1475197769916908</v>
      </c>
      <c r="IA36" s="1">
        <f t="shared" si="165"/>
        <v>12.132327571551048</v>
      </c>
      <c r="IB36" s="4">
        <f>654.472-(1.186*HY36)-(9.14*IA36)</f>
        <v>23.94312995791462</v>
      </c>
      <c r="IC36" s="17">
        <f>IF(IG36&gt;0,1000*IG36,0)</f>
        <v>18313.880355133027</v>
      </c>
      <c r="ID36" s="16">
        <f t="shared" si="168"/>
        <v>440.00180096644493</v>
      </c>
      <c r="IE36" s="7">
        <f t="shared" si="169"/>
        <v>-0.11300416610020765</v>
      </c>
      <c r="IF36" s="7">
        <f t="shared" si="170"/>
        <v>12.166843182442532</v>
      </c>
      <c r="IG36" s="4">
        <f t="shared" si="171"/>
        <v>18.313880355133026</v>
      </c>
      <c r="IH36" s="17">
        <f>IF(IL36&gt;0,1000*IL36,0)</f>
        <v>24002.246935778338</v>
      </c>
      <c r="II36" s="4">
        <f t="shared" si="173"/>
        <v>438.12517248836366</v>
      </c>
      <c r="IJ36" s="7">
        <f t="shared" si="174"/>
        <v>-0.14788170797184935</v>
      </c>
      <c r="IK36" s="7">
        <f t="shared" si="175"/>
        <v>12.13196564057089</v>
      </c>
      <c r="IL36" s="4">
        <f t="shared" si="176"/>
        <v>24.002246935778338</v>
      </c>
      <c r="IN36" s="1">
        <f t="shared" si="177"/>
        <v>15.541097991493658</v>
      </c>
      <c r="IO36" s="1">
        <f t="shared" si="178"/>
        <v>16.87863327569373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2008-10-09T22:50:03Z</dcterms:created>
  <dcterms:modified xsi:type="dcterms:W3CDTF">2008-12-02T17:37:27Z</dcterms:modified>
  <cp:category/>
  <cp:version/>
  <cp:contentType/>
  <cp:contentStatus/>
</cp:coreProperties>
</file>