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1320" yWindow="2980" windowWidth="24840" windowHeight="15540" tabRatio="692" activeTab="0"/>
  </bookViews>
  <sheets>
    <sheet name="Instructions" sheetId="1" r:id="rId1"/>
    <sheet name="Plag P-T Results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<sst xmlns="http://schemas.openxmlformats.org/spreadsheetml/2006/main" count="233" uniqueCount="127">
  <si>
    <t>1) INPUT required in GRAY columns (C, G - O, and R - AA)</t>
  </si>
  <si>
    <t>2) OUTPUT  thermometer results are in BLUE columns, AD - AF</t>
  </si>
  <si>
    <t>3) OUTPUT feldspar activities are in BLUE , Columns AP - AZ</t>
  </si>
  <si>
    <t>Margules parameters</t>
  </si>
  <si>
    <t>Geothermometers based on plagioclase-liquid equilibria</t>
  </si>
  <si>
    <t>Gray field = input</t>
  </si>
  <si>
    <t>Blue field = output</t>
  </si>
  <si>
    <t>Experimental Compositions given  as examples</t>
  </si>
  <si>
    <t>Data Source</t>
  </si>
  <si>
    <t>Experiment #</t>
  </si>
  <si>
    <t>Enter</t>
  </si>
  <si>
    <t>Appropriate</t>
  </si>
  <si>
    <t>Value for P(Gpa)</t>
  </si>
  <si>
    <t>Leave Blank</t>
  </si>
  <si>
    <t>to model 27a, since the regression equation</t>
  </si>
  <si>
    <t>Experimental Conditions</t>
  </si>
  <si>
    <t>SiO2</t>
  </si>
  <si>
    <t>TiO2</t>
  </si>
  <si>
    <t>Al2O3</t>
  </si>
  <si>
    <t>FeOt</t>
  </si>
  <si>
    <t>MnO</t>
  </si>
  <si>
    <t>MgO</t>
  </si>
  <si>
    <t>CaO</t>
  </si>
  <si>
    <t>Na2O</t>
  </si>
  <si>
    <t>K2O</t>
  </si>
  <si>
    <t>Cr2O3</t>
  </si>
  <si>
    <t>Alkali Feldspar Composition - in Weight Percent</t>
  </si>
  <si>
    <t>Enter Alkali Feldspar Composition Here</t>
  </si>
  <si>
    <t>Enter Plagioclase Composition Here</t>
  </si>
  <si>
    <t>NOTE:  MODEL 27b should be preferred</t>
  </si>
  <si>
    <t>more directly solves for T; the model in column AF is similarly better than 27a</t>
  </si>
  <si>
    <t>P (kbar)</t>
  </si>
  <si>
    <t>Plagioclase Compositions - in Weight Percent</t>
  </si>
  <si>
    <t>Plagioclase Activity Calculations</t>
  </si>
  <si>
    <t>Alkali Feldspar Activity Calculations</t>
  </si>
  <si>
    <t>a(An)-afs</t>
  </si>
  <si>
    <t>a(Or)-afs</t>
  </si>
  <si>
    <t>a(Ab)-afs</t>
  </si>
  <si>
    <t>Global model</t>
  </si>
  <si>
    <t>a(An)-pl</t>
  </si>
  <si>
    <t>a(Or)-pl</t>
  </si>
  <si>
    <t>a(Ab)-pl</t>
  </si>
  <si>
    <t>Eqn 27a</t>
  </si>
  <si>
    <t>Eqn 27b</t>
  </si>
  <si>
    <t>Global regression</t>
  </si>
  <si>
    <t>Two-Feldspar Temperatures - Putirka (2008) RiMG</t>
  </si>
  <si>
    <t>Calculated Feldspar Components</t>
  </si>
  <si>
    <t>Alkali Feldspar</t>
  </si>
  <si>
    <t>W Ab-Or</t>
  </si>
  <si>
    <t>W Or-Ab</t>
  </si>
  <si>
    <t>W Ab-An</t>
  </si>
  <si>
    <t>a(Ab) sub-calcs</t>
  </si>
  <si>
    <t>An</t>
  </si>
  <si>
    <t>Ab</t>
  </si>
  <si>
    <t>a(An) sub-calcs</t>
  </si>
  <si>
    <t>From cation fraction</t>
  </si>
  <si>
    <t xml:space="preserve">TiO2 </t>
  </si>
  <si>
    <t>Plag Cation proportions</t>
  </si>
  <si>
    <t>Plag Cation fractions</t>
  </si>
  <si>
    <t xml:space="preserve">SiO2  </t>
  </si>
  <si>
    <t xml:space="preserve">FeO   </t>
  </si>
  <si>
    <t xml:space="preserve">MnO   </t>
  </si>
  <si>
    <t>a(Or) sub-calcs</t>
  </si>
  <si>
    <t>sum1-7</t>
  </si>
  <si>
    <t>W An-Ab</t>
  </si>
  <si>
    <t>K</t>
  </si>
  <si>
    <t>Barth (1951)</t>
  </si>
  <si>
    <t>Barth (1968)</t>
  </si>
  <si>
    <t>a</t>
  </si>
  <si>
    <t>b</t>
  </si>
  <si>
    <t>c</t>
  </si>
  <si>
    <t>Stormer (1975)</t>
  </si>
  <si>
    <t>Or</t>
  </si>
  <si>
    <t>Furhmand and Lindsley</t>
  </si>
  <si>
    <t>Elkins and Grove</t>
  </si>
  <si>
    <t>Wh</t>
  </si>
  <si>
    <t>Ws</t>
  </si>
  <si>
    <t>Wv</t>
  </si>
  <si>
    <t>KD(Fe-Mg)</t>
  </si>
  <si>
    <t>Elkins and Grove (1990)</t>
  </si>
  <si>
    <t>L3</t>
  </si>
  <si>
    <t>KL1</t>
  </si>
  <si>
    <t>M1</t>
  </si>
  <si>
    <t>O1</t>
  </si>
  <si>
    <t>P2</t>
  </si>
  <si>
    <t>K1</t>
  </si>
  <si>
    <t>L1</t>
  </si>
  <si>
    <t>Q1</t>
  </si>
  <si>
    <t>G2</t>
  </si>
  <si>
    <t>E2</t>
  </si>
  <si>
    <t>I'1</t>
  </si>
  <si>
    <t>G10-2</t>
  </si>
  <si>
    <t>G5</t>
  </si>
  <si>
    <t>A4</t>
  </si>
  <si>
    <t>G10-7</t>
  </si>
  <si>
    <t>G10-9</t>
  </si>
  <si>
    <t>Alkali Feldpars</t>
  </si>
  <si>
    <t>Plagioclase</t>
  </si>
  <si>
    <t>Alkali Feldspars</t>
  </si>
  <si>
    <t>Alkali Feldspar Cation proportions</t>
  </si>
  <si>
    <t>Alkali Feldspar Cation fractions</t>
  </si>
  <si>
    <t>delta-a(Or)</t>
  </si>
  <si>
    <t>delta-a(Ab)</t>
  </si>
  <si>
    <t>delta-a(An)</t>
  </si>
  <si>
    <t>T (C)</t>
  </si>
  <si>
    <t>T(C )</t>
  </si>
  <si>
    <t>Measured</t>
  </si>
  <si>
    <t>Tests for Equilibrium (Based on Elkins and Grove, 1990)</t>
  </si>
  <si>
    <t xml:space="preserve"> (42 Experiments)</t>
  </si>
  <si>
    <t>Predicted</t>
  </si>
  <si>
    <t>total</t>
  </si>
  <si>
    <t>T(K)</t>
  </si>
  <si>
    <t>Mol. Wts.</t>
  </si>
  <si>
    <t xml:space="preserve">MgO   </t>
  </si>
  <si>
    <t xml:space="preserve">CaO   </t>
  </si>
  <si>
    <t>AlO3 /2</t>
  </si>
  <si>
    <t>NaO 0.5</t>
  </si>
  <si>
    <t xml:space="preserve">KO 0.5  </t>
  </si>
  <si>
    <t xml:space="preserve">CrO3/2 </t>
  </si>
  <si>
    <t>Cation Fraction/Component Calculations</t>
  </si>
  <si>
    <t>W Or-An</t>
  </si>
  <si>
    <t>W An-Or</t>
  </si>
  <si>
    <t>W Ab-Or-An</t>
  </si>
  <si>
    <t>Elkins and Grove (1990) Ternary Feldspar Model</t>
  </si>
  <si>
    <t>Plagioclase Feldspar</t>
  </si>
  <si>
    <t>Feldspar Activities</t>
  </si>
  <si>
    <t>a(plag) - a(afs)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</si>
</sst>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\-mmm\-yy_)"/>
    <numFmt numFmtId="173" formatCode="mm/dd/yy"/>
    <numFmt numFmtId="174" formatCode="0.00000"/>
    <numFmt numFmtId="175" formatCode=".00%"/>
    <numFmt numFmtId="176" formatCode="0.00000000000"/>
    <numFmt numFmtId="177" formatCode="0.0"/>
    <numFmt numFmtId="178" formatCode="0.000"/>
  </numFmts>
  <fonts count="59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sz val="8"/>
      <name val="Verdana"/>
      <family val="2"/>
    </font>
    <font>
      <sz val="11"/>
      <color indexed="8"/>
      <name val="Verdana"/>
      <family val="0"/>
    </font>
    <font>
      <sz val="10"/>
      <color indexed="8"/>
      <name val="Verdana"/>
      <family val="0"/>
    </font>
    <font>
      <b/>
      <sz val="18"/>
      <color indexed="8"/>
      <name val="Verdana"/>
      <family val="0"/>
    </font>
    <font>
      <sz val="18"/>
      <color indexed="8"/>
      <name val="Verdana"/>
      <family val="0"/>
    </font>
    <font>
      <sz val="14"/>
      <color indexed="8"/>
      <name val="Verdana"/>
      <family val="0"/>
    </font>
    <font>
      <b/>
      <sz val="11"/>
      <color indexed="8"/>
      <name val="Verdana"/>
      <family val="0"/>
    </font>
    <font>
      <b/>
      <sz val="16"/>
      <name val="Verdana"/>
      <family val="0"/>
    </font>
    <font>
      <sz val="10"/>
      <name val="Verdana"/>
      <family val="0"/>
    </font>
    <font>
      <sz val="12"/>
      <name val="Verdana"/>
      <family val="0"/>
    </font>
    <font>
      <b/>
      <sz val="12"/>
      <name val="Verdana"/>
      <family val="0"/>
    </font>
    <font>
      <b/>
      <sz val="18"/>
      <name val="Verdana"/>
      <family val="0"/>
    </font>
    <font>
      <b/>
      <sz val="10"/>
      <name val="Verdana"/>
      <family val="0"/>
    </font>
    <font>
      <b/>
      <sz val="14"/>
      <name val="Verdana"/>
      <family val="0"/>
    </font>
    <font>
      <b/>
      <sz val="10"/>
      <color indexed="8"/>
      <name val="Verdana"/>
      <family val="0"/>
    </font>
    <font>
      <sz val="12"/>
      <color indexed="8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1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6"/>
      <color indexed="8"/>
      <name val="Calibri"/>
      <family val="0"/>
    </font>
    <font>
      <sz val="12"/>
      <color indexed="8"/>
      <name val="Calibri"/>
      <family val="0"/>
    </font>
    <font>
      <u val="single"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12" fillId="33" borderId="12" xfId="0" applyFont="1" applyFill="1" applyBorder="1" applyAlignment="1">
      <alignment horizontal="center"/>
    </xf>
    <xf numFmtId="0" fontId="13" fillId="0" borderId="0" xfId="0" applyFont="1" applyFill="1" applyAlignment="1">
      <alignment horizontal="left"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4" fillId="0" borderId="13" xfId="0" applyFont="1" applyFill="1" applyBorder="1" applyAlignment="1">
      <alignment/>
    </xf>
    <xf numFmtId="0" fontId="14" fillId="0" borderId="14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14" fontId="14" fillId="0" borderId="0" xfId="0" applyNumberFormat="1" applyFont="1" applyFill="1" applyAlignment="1">
      <alignment horizontal="left"/>
    </xf>
    <xf numFmtId="0" fontId="14" fillId="0" borderId="15" xfId="0" applyFont="1" applyFill="1" applyBorder="1" applyAlignment="1">
      <alignment/>
    </xf>
    <xf numFmtId="0" fontId="14" fillId="0" borderId="12" xfId="0" applyFont="1" applyFill="1" applyBorder="1" applyAlignment="1">
      <alignment/>
    </xf>
    <xf numFmtId="0" fontId="14" fillId="0" borderId="16" xfId="0" applyFont="1" applyFill="1" applyBorder="1" applyAlignment="1">
      <alignment/>
    </xf>
    <xf numFmtId="0" fontId="17" fillId="0" borderId="0" xfId="0" applyFont="1" applyFill="1" applyAlignment="1">
      <alignment horizontal="left"/>
    </xf>
    <xf numFmtId="0" fontId="14" fillId="0" borderId="17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11" xfId="0" applyFont="1" applyFill="1" applyBorder="1" applyAlignment="1">
      <alignment/>
    </xf>
    <xf numFmtId="0" fontId="18" fillId="0" borderId="0" xfId="0" applyFont="1" applyFill="1" applyAlignment="1">
      <alignment horizontal="left"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14" fontId="18" fillId="0" borderId="0" xfId="0" applyNumberFormat="1" applyFont="1" applyFill="1" applyAlignment="1">
      <alignment horizontal="left"/>
    </xf>
    <xf numFmtId="0" fontId="18" fillId="0" borderId="18" xfId="0" applyFont="1" applyFill="1" applyBorder="1" applyAlignment="1">
      <alignment/>
    </xf>
    <xf numFmtId="0" fontId="14" fillId="0" borderId="18" xfId="0" applyFont="1" applyFill="1" applyBorder="1" applyAlignment="1">
      <alignment/>
    </xf>
    <xf numFmtId="174" fontId="14" fillId="0" borderId="0" xfId="0" applyNumberFormat="1" applyFont="1" applyFill="1" applyAlignment="1">
      <alignment horizontal="left"/>
    </xf>
    <xf numFmtId="0" fontId="14" fillId="0" borderId="0" xfId="0" applyFont="1" applyAlignment="1">
      <alignment horizontal="center"/>
    </xf>
    <xf numFmtId="0" fontId="8" fillId="0" borderId="0" xfId="0" applyFont="1" applyFill="1" applyAlignment="1">
      <alignment horizontal="left"/>
    </xf>
    <xf numFmtId="0" fontId="8" fillId="0" borderId="16" xfId="0" applyFont="1" applyFill="1" applyBorder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0" fillId="33" borderId="12" xfId="0" applyFont="1" applyFill="1" applyBorder="1" applyAlignment="1">
      <alignment horizontal="center"/>
    </xf>
    <xf numFmtId="0" fontId="12" fillId="33" borderId="0" xfId="0" applyFont="1" applyFill="1" applyAlignment="1">
      <alignment horizontal="left"/>
    </xf>
    <xf numFmtId="0" fontId="7" fillId="33" borderId="0" xfId="0" applyFont="1" applyFill="1" applyAlignment="1">
      <alignment/>
    </xf>
    <xf numFmtId="0" fontId="8" fillId="0" borderId="19" xfId="0" applyFont="1" applyFill="1" applyBorder="1" applyAlignment="1">
      <alignment/>
    </xf>
    <xf numFmtId="0" fontId="14" fillId="0" borderId="20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7" fillId="33" borderId="0" xfId="0" applyFont="1" applyFill="1" applyAlignment="1">
      <alignment horizontal="center"/>
    </xf>
    <xf numFmtId="0" fontId="19" fillId="0" borderId="0" xfId="0" applyFont="1" applyAlignment="1">
      <alignment/>
    </xf>
    <xf numFmtId="0" fontId="14" fillId="33" borderId="0" xfId="0" applyFont="1" applyFill="1" applyAlignment="1">
      <alignment/>
    </xf>
    <xf numFmtId="0" fontId="14" fillId="33" borderId="0" xfId="0" applyFont="1" applyFill="1" applyAlignment="1">
      <alignment horizontal="center"/>
    </xf>
    <xf numFmtId="0" fontId="14" fillId="34" borderId="0" xfId="0" applyFont="1" applyFill="1" applyAlignment="1">
      <alignment horizontal="center"/>
    </xf>
    <xf numFmtId="0" fontId="14" fillId="34" borderId="0" xfId="0" applyFont="1" applyFill="1" applyBorder="1" applyAlignment="1">
      <alignment horizontal="center"/>
    </xf>
    <xf numFmtId="0" fontId="14" fillId="34" borderId="18" xfId="0" applyFont="1" applyFill="1" applyBorder="1" applyAlignment="1">
      <alignment horizontal="center"/>
    </xf>
    <xf numFmtId="177" fontId="14" fillId="34" borderId="0" xfId="0" applyNumberFormat="1" applyFont="1" applyFill="1" applyAlignment="1">
      <alignment horizontal="center"/>
    </xf>
    <xf numFmtId="0" fontId="16" fillId="34" borderId="18" xfId="0" applyFont="1" applyFill="1" applyBorder="1" applyAlignment="1">
      <alignment/>
    </xf>
    <xf numFmtId="0" fontId="14" fillId="34" borderId="18" xfId="0" applyFont="1" applyFill="1" applyBorder="1" applyAlignment="1">
      <alignment/>
    </xf>
    <xf numFmtId="0" fontId="14" fillId="34" borderId="0" xfId="0" applyFont="1" applyFill="1" applyAlignment="1">
      <alignment/>
    </xf>
    <xf numFmtId="0" fontId="18" fillId="34" borderId="0" xfId="0" applyFont="1" applyFill="1" applyAlignment="1">
      <alignment/>
    </xf>
    <xf numFmtId="0" fontId="14" fillId="34" borderId="12" xfId="0" applyFont="1" applyFill="1" applyBorder="1" applyAlignment="1">
      <alignment horizontal="center"/>
    </xf>
    <xf numFmtId="178" fontId="14" fillId="34" borderId="0" xfId="0" applyNumberFormat="1" applyFont="1" applyFill="1" applyAlignment="1">
      <alignment horizontal="center"/>
    </xf>
    <xf numFmtId="2" fontId="14" fillId="34" borderId="0" xfId="0" applyNumberFormat="1" applyFont="1" applyFill="1" applyBorder="1" applyAlignment="1">
      <alignment horizontal="center"/>
    </xf>
    <xf numFmtId="2" fontId="14" fillId="34" borderId="0" xfId="0" applyNumberFormat="1" applyFont="1" applyFill="1" applyAlignment="1">
      <alignment/>
    </xf>
    <xf numFmtId="2" fontId="14" fillId="34" borderId="0" xfId="0" applyNumberFormat="1" applyFont="1" applyFill="1" applyAlignment="1">
      <alignment horizontal="center"/>
    </xf>
    <xf numFmtId="0" fontId="19" fillId="34" borderId="18" xfId="0" applyFont="1" applyFill="1" applyBorder="1" applyAlignment="1">
      <alignment horizontal="left"/>
    </xf>
    <xf numFmtId="0" fontId="11" fillId="0" borderId="21" xfId="0" applyFont="1" applyFill="1" applyBorder="1" applyAlignment="1">
      <alignment horizontal="left"/>
    </xf>
    <xf numFmtId="0" fontId="21" fillId="0" borderId="13" xfId="0" applyFont="1" applyFill="1" applyBorder="1" applyAlignment="1">
      <alignment horizontal="center"/>
    </xf>
    <xf numFmtId="0" fontId="21" fillId="0" borderId="17" xfId="0" applyFont="1" applyFill="1" applyBorder="1" applyAlignment="1">
      <alignment horizontal="center"/>
    </xf>
    <xf numFmtId="0" fontId="21" fillId="0" borderId="15" xfId="0" applyFont="1" applyFill="1" applyBorder="1" applyAlignment="1">
      <alignment horizontal="center"/>
    </xf>
    <xf numFmtId="0" fontId="14" fillId="35" borderId="0" xfId="0" applyFont="1" applyFill="1" applyAlignment="1">
      <alignment horizontal="center"/>
    </xf>
    <xf numFmtId="0" fontId="16" fillId="35" borderId="0" xfId="0" applyFont="1" applyFill="1" applyAlignment="1">
      <alignment horizontal="left"/>
    </xf>
    <xf numFmtId="0" fontId="14" fillId="35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Followed Hyperlink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2</xdr:row>
      <xdr:rowOff>95250</xdr:rowOff>
    </xdr:from>
    <xdr:to>
      <xdr:col>9</xdr:col>
      <xdr:colOff>323850</xdr:colOff>
      <xdr:row>48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04850" y="419100"/>
          <a:ext cx="7419975" cy="7353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Instructions for Estimating T Using Two-Feldspar Thermometers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 details and references see: Putirka, K. (2008) Thermometers and Barometers for Volcanic Systems. In: Putirka, K., Tepley, F. (Eds.), Minerals, Inclusions and Volcanic Processes, Reviews in Mineralogy and Geochemistry, Mineralogical Soc. Am., v. 69, pp. 61-120.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Input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Enter an alkali feldspar composition in columns F - O and a plagioclase composition in columns R – AA. 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Settings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Some calculations in this workbook require numerical solutions; please check that under Excel – Preferences – Calculations, that “Iterative” calculations are allowed, otherwise Excel will report a “Circular reference” error in some cases. 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P-T calculations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Results from two-feldspar thermometers are given in columns AD – AF. The models are P-sensitive, so require an input P, in column C.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Tests for equilibrium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As a test for equilibrium, one can compare the activities between those calculated for alkali and plagioclase feldspar, using the models of Elkins and Grove (1990) (columns AX – AZ). These should nominally be zero, but tests are required to determine whether this measure of equilibrium is effective at reducing error for T calculated using experimental data.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11.37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N46"/>
  <sheetViews>
    <sheetView zoomScalePageLayoutView="0" workbookViewId="0" topLeftCell="CG1">
      <selection activeCell="CQ16" sqref="CQ16"/>
    </sheetView>
  </sheetViews>
  <sheetFormatPr defaultColWidth="11.375" defaultRowHeight="12.75"/>
  <cols>
    <col min="1" max="1" width="26.75390625" style="9" customWidth="1"/>
    <col min="2" max="2" width="17.00390625" style="9" customWidth="1"/>
    <col min="3" max="4" width="17.375" style="9" customWidth="1"/>
    <col min="5" max="5" width="8.875" style="9" customWidth="1"/>
    <col min="6" max="6" width="9.00390625" style="9" customWidth="1"/>
    <col min="7" max="7" width="9.25390625" style="9" customWidth="1"/>
    <col min="8" max="8" width="10.25390625" style="9" customWidth="1"/>
    <col min="9" max="9" width="11.875" style="9" customWidth="1"/>
    <col min="10" max="15" width="7.875" style="9" customWidth="1"/>
    <col min="16" max="17" width="7.625" style="9" customWidth="1"/>
    <col min="18" max="19" width="7.00390625" style="9" customWidth="1"/>
    <col min="20" max="20" width="8.875" style="9" customWidth="1"/>
    <col min="21" max="21" width="14.25390625" style="9" customWidth="1"/>
    <col min="22" max="27" width="7.00390625" style="9" customWidth="1"/>
    <col min="28" max="29" width="6.75390625" style="11" customWidth="1"/>
    <col min="30" max="30" width="20.25390625" style="9" customWidth="1"/>
    <col min="31" max="31" width="21.75390625" style="9" customWidth="1"/>
    <col min="32" max="32" width="20.25390625" style="9" customWidth="1"/>
    <col min="33" max="33" width="6.75390625" style="11" customWidth="1"/>
    <col min="34" max="36" width="7.875" style="11" customWidth="1"/>
    <col min="37" max="37" width="3.25390625" style="11" customWidth="1"/>
    <col min="38" max="38" width="6.00390625" style="11" customWidth="1"/>
    <col min="39" max="39" width="6.75390625" style="11" customWidth="1"/>
    <col min="40" max="40" width="8.875" style="11" customWidth="1"/>
    <col min="41" max="41" width="2.625" style="11" customWidth="1"/>
    <col min="42" max="44" width="8.625" style="11" customWidth="1"/>
    <col min="45" max="45" width="2.375" style="11" customWidth="1"/>
    <col min="46" max="48" width="8.625" style="11" customWidth="1"/>
    <col min="49" max="49" width="12.375" style="11" customWidth="1"/>
    <col min="50" max="50" width="20.00390625" style="11" customWidth="1"/>
    <col min="51" max="51" width="20.25390625" style="11" customWidth="1"/>
    <col min="52" max="52" width="14.875" style="11" customWidth="1"/>
    <col min="53" max="54" width="9.625" style="11" customWidth="1"/>
    <col min="55" max="55" width="2.25390625" style="11" customWidth="1"/>
    <col min="56" max="56" width="9.625" style="13" customWidth="1"/>
    <col min="57" max="57" width="6.375" style="12" customWidth="1"/>
    <col min="58" max="58" width="6.625" style="14" customWidth="1"/>
    <col min="59" max="61" width="11.375" style="11" customWidth="1"/>
    <col min="62" max="62" width="12.25390625" style="11" customWidth="1"/>
    <col min="63" max="63" width="10.125" style="11" customWidth="1"/>
    <col min="64" max="70" width="6.125" style="11" customWidth="1"/>
    <col min="71" max="72" width="10.625" style="11" customWidth="1"/>
    <col min="73" max="73" width="6.75390625" style="11" customWidth="1"/>
    <col min="74" max="79" width="4.875" style="11" customWidth="1"/>
    <col min="80" max="80" width="10.875" style="11" customWidth="1"/>
    <col min="81" max="81" width="11.00390625" style="11" customWidth="1"/>
    <col min="82" max="82" width="0.875" style="11" customWidth="1"/>
    <col min="83" max="83" width="7.75390625" style="11" customWidth="1"/>
    <col min="84" max="84" width="6.25390625" style="11" customWidth="1"/>
    <col min="85" max="85" width="5.75390625" style="11" customWidth="1"/>
    <col min="86" max="86" width="8.75390625" style="11" customWidth="1"/>
    <col min="87" max="87" width="7.00390625" style="11" customWidth="1"/>
    <col min="88" max="89" width="4.75390625" style="11" customWidth="1"/>
    <col min="90" max="90" width="9.375" style="11" customWidth="1"/>
    <col min="91" max="93" width="5.875" style="11" customWidth="1"/>
    <col min="94" max="94" width="14.00390625" style="11" customWidth="1"/>
    <col min="95" max="97" width="10.125" style="11" customWidth="1"/>
    <col min="98" max="98" width="5.875" style="11" customWidth="1"/>
    <col min="99" max="99" width="7.875" style="11" customWidth="1"/>
    <col min="100" max="128" width="5.875" style="11" customWidth="1"/>
    <col min="129" max="139" width="7.875" style="9" customWidth="1"/>
    <col min="140" max="140" width="2.875" style="9" customWidth="1"/>
    <col min="141" max="141" width="10.875" style="9" customWidth="1"/>
    <col min="142" max="150" width="7.875" style="9" customWidth="1"/>
    <col min="151" max="152" width="5.875" style="9" customWidth="1"/>
    <col min="153" max="153" width="10.625" style="9" customWidth="1"/>
    <col min="154" max="154" width="5.875" style="9" customWidth="1"/>
    <col min="155" max="155" width="6.75390625" style="11" customWidth="1"/>
    <col min="156" max="160" width="8.75390625" style="11" customWidth="1"/>
    <col min="161" max="163" width="9.00390625" style="11" customWidth="1"/>
    <col min="164" max="165" width="11.25390625" style="11" customWidth="1"/>
    <col min="166" max="166" width="7.75390625" style="11" customWidth="1"/>
    <col min="167" max="167" width="11.625" style="18" customWidth="1"/>
    <col min="168" max="168" width="8.00390625" style="11" customWidth="1"/>
    <col min="169" max="169" width="6.75390625" style="11" customWidth="1"/>
    <col min="170" max="178" width="5.75390625" style="11" customWidth="1"/>
    <col min="179" max="179" width="1.37890625" style="11" customWidth="1"/>
    <col min="180" max="180" width="5.75390625" style="11" customWidth="1"/>
    <col min="181" max="181" width="6.625" style="11" customWidth="1"/>
    <col min="182" max="183" width="5.75390625" style="11" customWidth="1"/>
    <col min="184" max="184" width="0.875" style="11" customWidth="1"/>
    <col min="185" max="189" width="11.375" style="11" customWidth="1"/>
    <col min="190" max="190" width="2.00390625" style="11" customWidth="1"/>
    <col min="191" max="16384" width="11.375" style="11" customWidth="1"/>
  </cols>
  <sheetData>
    <row r="1" spans="1:70" ht="22.5">
      <c r="A1" s="1" t="s">
        <v>4</v>
      </c>
      <c r="B1" s="8"/>
      <c r="E1" s="8"/>
      <c r="AY1" s="12"/>
      <c r="AZ1" s="12"/>
      <c r="BA1" s="12"/>
      <c r="BK1" s="15"/>
      <c r="BL1" s="16" t="s">
        <v>3</v>
      </c>
      <c r="BM1" s="16"/>
      <c r="BN1" s="16"/>
      <c r="BO1" s="16"/>
      <c r="BP1" s="16" t="s">
        <v>3</v>
      </c>
      <c r="BQ1" s="16"/>
      <c r="BR1" s="17"/>
    </row>
    <row r="2" spans="1:70" ht="15.75">
      <c r="A2" s="2"/>
      <c r="B2" s="10"/>
      <c r="E2" s="10"/>
      <c r="AY2" s="12"/>
      <c r="AZ2" s="12"/>
      <c r="BA2" s="12"/>
      <c r="BK2" s="19"/>
      <c r="BL2" s="20" t="s">
        <v>73</v>
      </c>
      <c r="BM2" s="20"/>
      <c r="BN2" s="20"/>
      <c r="BO2" s="20"/>
      <c r="BP2" s="20" t="s">
        <v>74</v>
      </c>
      <c r="BQ2" s="20"/>
      <c r="BR2" s="21"/>
    </row>
    <row r="3" spans="1:70" ht="22.5">
      <c r="A3" s="3" t="s">
        <v>5</v>
      </c>
      <c r="B3" s="22"/>
      <c r="E3" s="22"/>
      <c r="AY3" s="12"/>
      <c r="AZ3" s="12"/>
      <c r="BA3" s="12"/>
      <c r="BK3" s="23"/>
      <c r="BL3" s="24" t="s">
        <v>75</v>
      </c>
      <c r="BM3" s="24" t="s">
        <v>76</v>
      </c>
      <c r="BN3" s="24" t="s">
        <v>77</v>
      </c>
      <c r="BO3" s="24"/>
      <c r="BP3" s="24" t="s">
        <v>75</v>
      </c>
      <c r="BQ3" s="24" t="s">
        <v>76</v>
      </c>
      <c r="BR3" s="25" t="s">
        <v>77</v>
      </c>
    </row>
    <row r="4" spans="1:70" ht="22.5">
      <c r="A4" s="3" t="s">
        <v>6</v>
      </c>
      <c r="B4" s="26"/>
      <c r="E4" s="26"/>
      <c r="BK4" s="23" t="s">
        <v>48</v>
      </c>
      <c r="BL4" s="24">
        <v>18810</v>
      </c>
      <c r="BM4" s="24">
        <v>10.3</v>
      </c>
      <c r="BN4" s="24">
        <v>0.394</v>
      </c>
      <c r="BO4" s="24"/>
      <c r="BP4" s="24">
        <v>19550</v>
      </c>
      <c r="BQ4" s="24">
        <v>10.5</v>
      </c>
      <c r="BR4" s="25">
        <v>0.327</v>
      </c>
    </row>
    <row r="5" spans="1:70" ht="15.75">
      <c r="A5" s="2"/>
      <c r="B5" s="10"/>
      <c r="E5" s="10"/>
      <c r="BK5" s="23" t="s">
        <v>49</v>
      </c>
      <c r="BL5" s="24">
        <v>27320</v>
      </c>
      <c r="BM5" s="24">
        <v>10.3</v>
      </c>
      <c r="BN5" s="24">
        <v>0.394</v>
      </c>
      <c r="BO5" s="24"/>
      <c r="BP5" s="24">
        <v>22820</v>
      </c>
      <c r="BQ5" s="24">
        <v>6.3</v>
      </c>
      <c r="BR5" s="25">
        <v>0.461</v>
      </c>
    </row>
    <row r="6" spans="1:70" ht="18">
      <c r="A6" s="4" t="s">
        <v>0</v>
      </c>
      <c r="B6" s="11"/>
      <c r="E6" s="11"/>
      <c r="BK6" s="23" t="s">
        <v>50</v>
      </c>
      <c r="BL6" s="24">
        <v>28226</v>
      </c>
      <c r="BM6" s="24"/>
      <c r="BN6" s="24"/>
      <c r="BO6" s="24"/>
      <c r="BP6" s="24">
        <v>31000</v>
      </c>
      <c r="BQ6" s="24">
        <v>4.5</v>
      </c>
      <c r="BR6" s="25">
        <v>0.069</v>
      </c>
    </row>
    <row r="7" spans="1:70" ht="18">
      <c r="A7" s="4" t="s">
        <v>1</v>
      </c>
      <c r="B7" s="26"/>
      <c r="E7" s="26"/>
      <c r="BK7" s="23" t="s">
        <v>64</v>
      </c>
      <c r="BL7" s="24">
        <v>8471</v>
      </c>
      <c r="BM7" s="24"/>
      <c r="BN7" s="24"/>
      <c r="BO7" s="24"/>
      <c r="BP7" s="24">
        <v>9800</v>
      </c>
      <c r="BQ7" s="24">
        <v>-1.7</v>
      </c>
      <c r="BR7" s="25">
        <v>-0.049</v>
      </c>
    </row>
    <row r="8" spans="1:70" ht="18">
      <c r="A8" s="4" t="s">
        <v>2</v>
      </c>
      <c r="B8" s="26"/>
      <c r="E8" s="26"/>
      <c r="AD8" s="70" t="s">
        <v>29</v>
      </c>
      <c r="AE8" s="69"/>
      <c r="AF8" s="69"/>
      <c r="AG8" s="71"/>
      <c r="AH8" s="71"/>
      <c r="BK8" s="23" t="s">
        <v>120</v>
      </c>
      <c r="BL8" s="24">
        <v>47396</v>
      </c>
      <c r="BM8" s="24"/>
      <c r="BN8" s="24"/>
      <c r="BO8" s="24"/>
      <c r="BP8" s="24">
        <v>90600</v>
      </c>
      <c r="BQ8" s="24">
        <v>29.5</v>
      </c>
      <c r="BR8" s="25">
        <v>-0.257</v>
      </c>
    </row>
    <row r="9" spans="1:129" ht="15.75">
      <c r="A9" s="26"/>
      <c r="B9" s="26"/>
      <c r="E9" s="26"/>
      <c r="AD9" s="70" t="s">
        <v>14</v>
      </c>
      <c r="AE9" s="69"/>
      <c r="AF9" s="69"/>
      <c r="AG9" s="71"/>
      <c r="AH9" s="71"/>
      <c r="BK9" s="23" t="s">
        <v>121</v>
      </c>
      <c r="BL9" s="24">
        <v>52468</v>
      </c>
      <c r="BM9" s="24"/>
      <c r="BN9" s="24">
        <v>-0.12</v>
      </c>
      <c r="BO9" s="24"/>
      <c r="BP9" s="24">
        <v>60300</v>
      </c>
      <c r="BQ9" s="24">
        <v>11.2</v>
      </c>
      <c r="BR9" s="25">
        <v>-0.21</v>
      </c>
      <c r="DY9" s="10" t="s">
        <v>119</v>
      </c>
    </row>
    <row r="10" spans="30:70" ht="15.75">
      <c r="AD10" s="70" t="s">
        <v>30</v>
      </c>
      <c r="AE10" s="69"/>
      <c r="AF10" s="69"/>
      <c r="AG10" s="71"/>
      <c r="AH10" s="71"/>
      <c r="BK10" s="19" t="s">
        <v>122</v>
      </c>
      <c r="BL10" s="20">
        <v>8700</v>
      </c>
      <c r="BM10" s="20"/>
      <c r="BN10" s="20">
        <v>-1.094</v>
      </c>
      <c r="BO10" s="20"/>
      <c r="BP10" s="20">
        <v>8000</v>
      </c>
      <c r="BQ10" s="20">
        <v>0</v>
      </c>
      <c r="BR10" s="21">
        <v>-0.467</v>
      </c>
    </row>
    <row r="11" spans="3:129" ht="18">
      <c r="C11" s="66" t="s">
        <v>10</v>
      </c>
      <c r="D11" s="5"/>
      <c r="F11" s="65" t="s">
        <v>27</v>
      </c>
      <c r="G11" s="44"/>
      <c r="H11" s="44"/>
      <c r="I11" s="45"/>
      <c r="R11" s="65" t="s">
        <v>28</v>
      </c>
      <c r="S11" s="46"/>
      <c r="T11" s="46"/>
      <c r="U11" s="45"/>
      <c r="BD11" s="9"/>
      <c r="BF11" s="29"/>
      <c r="DY11" s="11" t="s">
        <v>112</v>
      </c>
    </row>
    <row r="12" spans="3:165" ht="18.75" thickBot="1">
      <c r="C12" s="67" t="s">
        <v>11</v>
      </c>
      <c r="D12" s="6"/>
      <c r="R12" s="10"/>
      <c r="AD12" s="64" t="s">
        <v>45</v>
      </c>
      <c r="AE12" s="53"/>
      <c r="AF12" s="53"/>
      <c r="BD12" s="9"/>
      <c r="BF12" s="29"/>
      <c r="BK12" s="48" t="s">
        <v>33</v>
      </c>
      <c r="BL12" s="12"/>
      <c r="BM12" s="12"/>
      <c r="BN12" s="12"/>
      <c r="BO12" s="12"/>
      <c r="BP12" s="12"/>
      <c r="BQ12" s="12"/>
      <c r="BR12" s="12"/>
      <c r="BS12" s="12"/>
      <c r="BT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U12" s="28" t="s">
        <v>34</v>
      </c>
      <c r="DO12" s="12"/>
      <c r="DP12" s="12"/>
      <c r="DQ12" s="12"/>
      <c r="DR12" s="12"/>
      <c r="DS12" s="12"/>
      <c r="DT12" s="12"/>
      <c r="DU12" s="12"/>
      <c r="DV12" s="12"/>
      <c r="DW12" s="12"/>
      <c r="DY12" s="11">
        <f>28.0855+2*15.9994</f>
        <v>60.0843</v>
      </c>
      <c r="DZ12" s="11">
        <f>47.88+2*15.9994</f>
        <v>79.8788</v>
      </c>
      <c r="EA12" s="11">
        <f>2*26.981539+3*15.9994</f>
        <v>101.961278</v>
      </c>
      <c r="EB12" s="11">
        <f>55.847+15.9994</f>
        <v>71.8464</v>
      </c>
      <c r="EC12" s="11">
        <f>54.93805+15.9994</f>
        <v>70.93745</v>
      </c>
      <c r="ED12" s="11">
        <f>24.305+15.9994</f>
        <v>40.3044</v>
      </c>
      <c r="EE12" s="11">
        <f>40.078+15.9994</f>
        <v>56.077400000000004</v>
      </c>
      <c r="EF12" s="11">
        <f>2*22.989768+15.9994</f>
        <v>61.978936000000004</v>
      </c>
      <c r="EG12" s="11">
        <f>2*39.0983+15.9994</f>
        <v>94.196</v>
      </c>
      <c r="EH12" s="11">
        <f>2*51.9961+3*15.9994</f>
        <v>151.9904</v>
      </c>
      <c r="EI12" s="11"/>
      <c r="EJ12" s="11"/>
      <c r="EK12" s="11"/>
      <c r="EL12" s="11"/>
      <c r="EM12" s="11"/>
      <c r="EN12" s="11"/>
      <c r="EO12" s="11"/>
      <c r="EP12" s="11"/>
      <c r="EQ12" s="11"/>
      <c r="EY12" s="11" t="s">
        <v>112</v>
      </c>
      <c r="EZ12" s="11">
        <f>28.0855+2*15.9994</f>
        <v>60.0843</v>
      </c>
      <c r="FA12" s="11">
        <f>47.88+2*15.9994</f>
        <v>79.8788</v>
      </c>
      <c r="FB12" s="11">
        <f>2*26.981539+3*15.9994</f>
        <v>101.961278</v>
      </c>
      <c r="FC12" s="11">
        <f>55.847+15.9994</f>
        <v>71.8464</v>
      </c>
      <c r="FD12" s="11">
        <f>54.93805+15.9994</f>
        <v>70.93745</v>
      </c>
      <c r="FE12" s="11">
        <f>24.305+15.9994</f>
        <v>40.3044</v>
      </c>
      <c r="FF12" s="11">
        <f>40.078+15.9994</f>
        <v>56.077400000000004</v>
      </c>
      <c r="FG12" s="11">
        <f>2*22.989768+15.9994</f>
        <v>61.978936000000004</v>
      </c>
      <c r="FH12" s="11">
        <f>2*39.0983+15.9994</f>
        <v>94.196</v>
      </c>
      <c r="FI12" s="11">
        <f>2*51.9961+3*15.9994</f>
        <v>151.9904</v>
      </c>
    </row>
    <row r="13" spans="1:154" ht="16.5" thickBot="1">
      <c r="A13" s="2" t="s">
        <v>7</v>
      </c>
      <c r="B13" s="36"/>
      <c r="C13" s="68" t="s">
        <v>12</v>
      </c>
      <c r="D13" s="37" t="s">
        <v>13</v>
      </c>
      <c r="E13" s="27"/>
      <c r="F13" s="27" t="s">
        <v>96</v>
      </c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10"/>
      <c r="AD13" s="51"/>
      <c r="AE13" s="51"/>
      <c r="AF13" s="51" t="s">
        <v>44</v>
      </c>
      <c r="AH13" s="55" t="s">
        <v>46</v>
      </c>
      <c r="AI13" s="56"/>
      <c r="AJ13" s="56"/>
      <c r="AK13" s="56"/>
      <c r="AL13" s="56"/>
      <c r="AM13" s="56"/>
      <c r="AN13" s="56"/>
      <c r="AO13" s="57"/>
      <c r="AP13" s="55" t="s">
        <v>125</v>
      </c>
      <c r="AQ13" s="56"/>
      <c r="AR13" s="56"/>
      <c r="AS13" s="56"/>
      <c r="AT13" s="56"/>
      <c r="AU13" s="56"/>
      <c r="AV13" s="56"/>
      <c r="AX13" s="55" t="s">
        <v>107</v>
      </c>
      <c r="AY13" s="56"/>
      <c r="AZ13" s="56"/>
      <c r="BD13" s="9"/>
      <c r="BF13" s="29"/>
      <c r="BG13" s="30" t="s">
        <v>97</v>
      </c>
      <c r="BK13" s="11" t="s">
        <v>123</v>
      </c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P13" s="9"/>
      <c r="CQ13" s="30" t="s">
        <v>98</v>
      </c>
      <c r="CU13" s="11" t="s">
        <v>123</v>
      </c>
      <c r="DO13" s="12"/>
      <c r="DP13" s="12"/>
      <c r="DQ13" s="12"/>
      <c r="DR13" s="12"/>
      <c r="DS13" s="12"/>
      <c r="DT13" s="12"/>
      <c r="DU13" s="12"/>
      <c r="DV13" s="12"/>
      <c r="DW13" s="12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27"/>
      <c r="ES13" s="27"/>
      <c r="ET13" s="27"/>
      <c r="EU13" s="27"/>
      <c r="EV13" s="27"/>
      <c r="EW13" s="27"/>
      <c r="EX13" s="27"/>
    </row>
    <row r="14" spans="1:196" ht="13.5">
      <c r="A14" s="38"/>
      <c r="B14" s="39"/>
      <c r="C14" s="39" t="s">
        <v>15</v>
      </c>
      <c r="D14" s="40"/>
      <c r="F14" s="42" t="s">
        <v>26</v>
      </c>
      <c r="G14" s="43"/>
      <c r="H14" s="43"/>
      <c r="I14" s="43"/>
      <c r="J14" s="43"/>
      <c r="K14" s="43"/>
      <c r="L14" s="43"/>
      <c r="M14" s="43"/>
      <c r="N14" s="43"/>
      <c r="O14" s="43"/>
      <c r="R14" s="42" t="s">
        <v>32</v>
      </c>
      <c r="S14" s="47"/>
      <c r="T14" s="47"/>
      <c r="U14" s="47"/>
      <c r="V14" s="47"/>
      <c r="W14" s="47"/>
      <c r="X14" s="47"/>
      <c r="Y14" s="47"/>
      <c r="Z14" s="47"/>
      <c r="AA14" s="47"/>
      <c r="AD14" s="51" t="s">
        <v>42</v>
      </c>
      <c r="AE14" s="51" t="s">
        <v>43</v>
      </c>
      <c r="AF14" s="52" t="s">
        <v>108</v>
      </c>
      <c r="AH14" s="58" t="s">
        <v>47</v>
      </c>
      <c r="AI14" s="57"/>
      <c r="AJ14" s="57"/>
      <c r="AK14" s="57"/>
      <c r="AL14" s="58" t="s">
        <v>124</v>
      </c>
      <c r="AM14" s="57"/>
      <c r="AN14" s="57"/>
      <c r="AO14" s="57"/>
      <c r="AP14" s="58" t="s">
        <v>47</v>
      </c>
      <c r="AQ14" s="57"/>
      <c r="AR14" s="57"/>
      <c r="AS14" s="57"/>
      <c r="AT14" s="58" t="s">
        <v>124</v>
      </c>
      <c r="AU14" s="57"/>
      <c r="AV14" s="57"/>
      <c r="AX14" s="58" t="s">
        <v>126</v>
      </c>
      <c r="AY14" s="57"/>
      <c r="AZ14" s="57"/>
      <c r="BD14" s="9" t="s">
        <v>109</v>
      </c>
      <c r="BF14" s="29"/>
      <c r="BG14" s="11" t="s">
        <v>55</v>
      </c>
      <c r="BK14" s="11" t="s">
        <v>51</v>
      </c>
      <c r="BU14" s="11" t="s">
        <v>54</v>
      </c>
      <c r="CE14" s="11" t="s">
        <v>62</v>
      </c>
      <c r="CP14" s="9" t="s">
        <v>38</v>
      </c>
      <c r="CQ14" s="11" t="s">
        <v>55</v>
      </c>
      <c r="CU14" s="11" t="s">
        <v>51</v>
      </c>
      <c r="DE14" s="11" t="s">
        <v>54</v>
      </c>
      <c r="DO14" s="11" t="s">
        <v>62</v>
      </c>
      <c r="DY14" s="11" t="s">
        <v>99</v>
      </c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30" t="s">
        <v>100</v>
      </c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Z14" s="11" t="s">
        <v>57</v>
      </c>
      <c r="FL14" s="30" t="s">
        <v>58</v>
      </c>
      <c r="GC14" s="11" t="s">
        <v>66</v>
      </c>
      <c r="GD14" s="11" t="s">
        <v>66</v>
      </c>
      <c r="GE14" s="11" t="s">
        <v>67</v>
      </c>
      <c r="GI14" s="24" t="s">
        <v>71</v>
      </c>
      <c r="GJ14" s="24"/>
      <c r="GK14" s="24"/>
      <c r="GL14" s="24"/>
      <c r="GN14" s="11" t="s">
        <v>106</v>
      </c>
    </row>
    <row r="15" spans="1:196" ht="15" thickBot="1">
      <c r="A15" s="38" t="s">
        <v>8</v>
      </c>
      <c r="B15" s="39" t="s">
        <v>9</v>
      </c>
      <c r="C15" s="41" t="s">
        <v>31</v>
      </c>
      <c r="D15" s="40" t="s">
        <v>104</v>
      </c>
      <c r="F15" s="7" t="s">
        <v>16</v>
      </c>
      <c r="G15" s="7" t="s">
        <v>17</v>
      </c>
      <c r="H15" s="7" t="s">
        <v>18</v>
      </c>
      <c r="I15" s="7" t="s">
        <v>19</v>
      </c>
      <c r="J15" s="7" t="s">
        <v>20</v>
      </c>
      <c r="K15" s="7" t="s">
        <v>21</v>
      </c>
      <c r="L15" s="7" t="s">
        <v>22</v>
      </c>
      <c r="M15" s="7" t="s">
        <v>23</v>
      </c>
      <c r="N15" s="7" t="s">
        <v>24</v>
      </c>
      <c r="O15" s="7" t="s">
        <v>25</v>
      </c>
      <c r="P15" s="29" t="s">
        <v>110</v>
      </c>
      <c r="Q15" s="29"/>
      <c r="R15" s="7" t="s">
        <v>16</v>
      </c>
      <c r="S15" s="7" t="s">
        <v>17</v>
      </c>
      <c r="T15" s="7" t="s">
        <v>18</v>
      </c>
      <c r="U15" s="7" t="s">
        <v>19</v>
      </c>
      <c r="V15" s="7" t="s">
        <v>20</v>
      </c>
      <c r="W15" s="7" t="s">
        <v>21</v>
      </c>
      <c r="X15" s="7" t="s">
        <v>22</v>
      </c>
      <c r="Y15" s="7" t="s">
        <v>23</v>
      </c>
      <c r="Z15" s="7" t="s">
        <v>24</v>
      </c>
      <c r="AA15" s="7" t="s">
        <v>25</v>
      </c>
      <c r="AB15" s="11" t="s">
        <v>110</v>
      </c>
      <c r="AD15" s="53" t="s">
        <v>105</v>
      </c>
      <c r="AE15" s="53" t="s">
        <v>105</v>
      </c>
      <c r="AF15" s="53" t="s">
        <v>105</v>
      </c>
      <c r="AH15" s="59" t="s">
        <v>52</v>
      </c>
      <c r="AI15" s="59" t="s">
        <v>53</v>
      </c>
      <c r="AJ15" s="59" t="s">
        <v>72</v>
      </c>
      <c r="AK15" s="51"/>
      <c r="AL15" s="59" t="s">
        <v>52</v>
      </c>
      <c r="AM15" s="59" t="s">
        <v>53</v>
      </c>
      <c r="AN15" s="59" t="s">
        <v>72</v>
      </c>
      <c r="AO15" s="57"/>
      <c r="AP15" s="59" t="s">
        <v>35</v>
      </c>
      <c r="AQ15" s="59" t="s">
        <v>37</v>
      </c>
      <c r="AR15" s="59" t="s">
        <v>36</v>
      </c>
      <c r="AS15" s="51"/>
      <c r="AT15" s="59" t="s">
        <v>39</v>
      </c>
      <c r="AU15" s="59" t="s">
        <v>41</v>
      </c>
      <c r="AV15" s="59" t="s">
        <v>40</v>
      </c>
      <c r="AX15" s="59" t="s">
        <v>103</v>
      </c>
      <c r="AY15" s="59" t="s">
        <v>102</v>
      </c>
      <c r="AZ15" s="59" t="s">
        <v>101</v>
      </c>
      <c r="BB15" s="11" t="s">
        <v>111</v>
      </c>
      <c r="BD15" s="9" t="s">
        <v>105</v>
      </c>
      <c r="BF15" s="29" t="s">
        <v>111</v>
      </c>
      <c r="BG15" s="29" t="s">
        <v>52</v>
      </c>
      <c r="BH15" s="29" t="s">
        <v>53</v>
      </c>
      <c r="BI15" s="29" t="s">
        <v>72</v>
      </c>
      <c r="BJ15" s="11" t="s">
        <v>110</v>
      </c>
      <c r="BK15" s="11">
        <v>1</v>
      </c>
      <c r="BL15" s="11">
        <v>2</v>
      </c>
      <c r="BM15" s="11">
        <v>3</v>
      </c>
      <c r="BN15" s="11">
        <v>4</v>
      </c>
      <c r="BO15" s="11">
        <v>5</v>
      </c>
      <c r="BP15" s="11">
        <v>6</v>
      </c>
      <c r="BQ15" s="11">
        <v>7</v>
      </c>
      <c r="BR15" s="11" t="s">
        <v>63</v>
      </c>
      <c r="BS15" s="30" t="s">
        <v>41</v>
      </c>
      <c r="BU15" s="11">
        <v>1</v>
      </c>
      <c r="BV15" s="11">
        <v>2</v>
      </c>
      <c r="BW15" s="11">
        <v>3</v>
      </c>
      <c r="BX15" s="11">
        <v>4</v>
      </c>
      <c r="BY15" s="11">
        <v>5</v>
      </c>
      <c r="BZ15" s="11">
        <v>6</v>
      </c>
      <c r="CA15" s="11">
        <v>7</v>
      </c>
      <c r="CB15" s="11" t="s">
        <v>63</v>
      </c>
      <c r="CC15" s="30" t="s">
        <v>39</v>
      </c>
      <c r="CE15" s="11">
        <v>1</v>
      </c>
      <c r="CF15" s="11">
        <v>2</v>
      </c>
      <c r="CG15" s="11">
        <v>3</v>
      </c>
      <c r="CH15" s="11">
        <v>4</v>
      </c>
      <c r="CI15" s="11">
        <v>5</v>
      </c>
      <c r="CJ15" s="11">
        <v>6</v>
      </c>
      <c r="CK15" s="11">
        <v>7</v>
      </c>
      <c r="CL15" s="11" t="s">
        <v>63</v>
      </c>
      <c r="CM15" s="30" t="s">
        <v>40</v>
      </c>
      <c r="CN15" s="30"/>
      <c r="CP15" s="9" t="s">
        <v>111</v>
      </c>
      <c r="CQ15" s="29" t="s">
        <v>52</v>
      </c>
      <c r="CR15" s="29" t="s">
        <v>53</v>
      </c>
      <c r="CS15" s="29" t="s">
        <v>72</v>
      </c>
      <c r="CT15" s="11" t="s">
        <v>110</v>
      </c>
      <c r="CU15" s="11">
        <v>1</v>
      </c>
      <c r="CV15" s="11">
        <v>2</v>
      </c>
      <c r="CW15" s="11">
        <v>3</v>
      </c>
      <c r="CX15" s="11">
        <v>4</v>
      </c>
      <c r="CY15" s="11">
        <v>5</v>
      </c>
      <c r="CZ15" s="11">
        <v>6</v>
      </c>
      <c r="DA15" s="11">
        <v>7</v>
      </c>
      <c r="DB15" s="11" t="s">
        <v>63</v>
      </c>
      <c r="DC15" s="30" t="s">
        <v>37</v>
      </c>
      <c r="DE15" s="11">
        <v>1</v>
      </c>
      <c r="DF15" s="11">
        <v>2</v>
      </c>
      <c r="DG15" s="11">
        <v>3</v>
      </c>
      <c r="DH15" s="11">
        <v>4</v>
      </c>
      <c r="DI15" s="11">
        <v>5</v>
      </c>
      <c r="DJ15" s="11">
        <v>6</v>
      </c>
      <c r="DK15" s="11">
        <v>7</v>
      </c>
      <c r="DL15" s="11" t="s">
        <v>63</v>
      </c>
      <c r="DM15" s="30" t="s">
        <v>35</v>
      </c>
      <c r="DO15" s="11">
        <v>1</v>
      </c>
      <c r="DP15" s="11">
        <v>2</v>
      </c>
      <c r="DQ15" s="11">
        <v>3</v>
      </c>
      <c r="DR15" s="11">
        <v>4</v>
      </c>
      <c r="DS15" s="11">
        <v>5</v>
      </c>
      <c r="DT15" s="11">
        <v>6</v>
      </c>
      <c r="DU15" s="11">
        <v>7</v>
      </c>
      <c r="DV15" s="11" t="s">
        <v>63</v>
      </c>
      <c r="DW15" s="30" t="s">
        <v>36</v>
      </c>
      <c r="DX15" s="30"/>
      <c r="DY15" s="11" t="s">
        <v>59</v>
      </c>
      <c r="DZ15" s="11" t="s">
        <v>56</v>
      </c>
      <c r="EA15" s="11" t="s">
        <v>115</v>
      </c>
      <c r="EB15" s="11" t="s">
        <v>60</v>
      </c>
      <c r="EC15" s="11" t="s">
        <v>61</v>
      </c>
      <c r="ED15" s="11" t="s">
        <v>113</v>
      </c>
      <c r="EE15" s="11" t="s">
        <v>114</v>
      </c>
      <c r="EF15" s="11" t="s">
        <v>116</v>
      </c>
      <c r="EG15" s="11" t="s">
        <v>117</v>
      </c>
      <c r="EH15" s="11" t="s">
        <v>118</v>
      </c>
      <c r="EI15" s="11" t="s">
        <v>110</v>
      </c>
      <c r="EJ15" s="11"/>
      <c r="EK15" s="11" t="s">
        <v>59</v>
      </c>
      <c r="EL15" s="11" t="s">
        <v>56</v>
      </c>
      <c r="EM15" s="11" t="s">
        <v>115</v>
      </c>
      <c r="EN15" s="11" t="s">
        <v>60</v>
      </c>
      <c r="EO15" s="11" t="s">
        <v>61</v>
      </c>
      <c r="EP15" s="11" t="s">
        <v>113</v>
      </c>
      <c r="EQ15" s="11" t="s">
        <v>114</v>
      </c>
      <c r="ER15" s="11" t="s">
        <v>116</v>
      </c>
      <c r="ES15" s="11" t="s">
        <v>117</v>
      </c>
      <c r="ET15" s="11" t="s">
        <v>118</v>
      </c>
      <c r="EU15" s="11" t="s">
        <v>110</v>
      </c>
      <c r="EV15" s="11" t="s">
        <v>52</v>
      </c>
      <c r="EW15" s="11" t="s">
        <v>53</v>
      </c>
      <c r="EX15" s="11" t="s">
        <v>72</v>
      </c>
      <c r="EZ15" s="11" t="s">
        <v>59</v>
      </c>
      <c r="FA15" s="11" t="s">
        <v>56</v>
      </c>
      <c r="FB15" s="11" t="s">
        <v>115</v>
      </c>
      <c r="FC15" s="11" t="s">
        <v>60</v>
      </c>
      <c r="FD15" s="11" t="s">
        <v>61</v>
      </c>
      <c r="FE15" s="11" t="s">
        <v>113</v>
      </c>
      <c r="FF15" s="11" t="s">
        <v>114</v>
      </c>
      <c r="FG15" s="11" t="s">
        <v>116</v>
      </c>
      <c r="FH15" s="11" t="s">
        <v>117</v>
      </c>
      <c r="FI15" s="11" t="s">
        <v>118</v>
      </c>
      <c r="FJ15" s="11" t="s">
        <v>110</v>
      </c>
      <c r="FK15" s="31" t="s">
        <v>78</v>
      </c>
      <c r="FL15" s="30" t="s">
        <v>59</v>
      </c>
      <c r="FM15" s="30" t="s">
        <v>56</v>
      </c>
      <c r="FN15" s="30" t="s">
        <v>115</v>
      </c>
      <c r="FO15" s="30" t="s">
        <v>60</v>
      </c>
      <c r="FP15" s="30" t="s">
        <v>61</v>
      </c>
      <c r="FQ15" s="30" t="s">
        <v>113</v>
      </c>
      <c r="FR15" s="30" t="s">
        <v>114</v>
      </c>
      <c r="FS15" s="30" t="s">
        <v>116</v>
      </c>
      <c r="FT15" s="30" t="s">
        <v>117</v>
      </c>
      <c r="FU15" s="30" t="s">
        <v>118</v>
      </c>
      <c r="FV15" s="11" t="s">
        <v>110</v>
      </c>
      <c r="FX15" s="30" t="s">
        <v>52</v>
      </c>
      <c r="FY15" s="30" t="s">
        <v>53</v>
      </c>
      <c r="FZ15" s="30" t="s">
        <v>72</v>
      </c>
      <c r="GC15" s="32" t="s">
        <v>65</v>
      </c>
      <c r="GD15" s="33"/>
      <c r="GE15" s="33" t="s">
        <v>70</v>
      </c>
      <c r="GF15" s="33" t="s">
        <v>69</v>
      </c>
      <c r="GG15" s="33" t="s">
        <v>68</v>
      </c>
      <c r="GI15" s="33"/>
      <c r="GJ15" s="33"/>
      <c r="GK15" s="33"/>
      <c r="GL15" s="33"/>
      <c r="GN15" s="11" t="str">
        <f aca="true" t="shared" si="0" ref="GN15:GN31">D15</f>
        <v>T (C)</v>
      </c>
    </row>
    <row r="16" spans="1:196" ht="12.75">
      <c r="A16" s="11" t="s">
        <v>79</v>
      </c>
      <c r="B16" s="11" t="s">
        <v>80</v>
      </c>
      <c r="C16" s="50">
        <v>6</v>
      </c>
      <c r="D16" s="9">
        <v>775</v>
      </c>
      <c r="E16" s="11"/>
      <c r="F16" s="49">
        <v>65</v>
      </c>
      <c r="G16" s="49"/>
      <c r="H16" s="49">
        <v>19.1</v>
      </c>
      <c r="I16" s="49">
        <v>0.11</v>
      </c>
      <c r="J16" s="49"/>
      <c r="K16" s="49">
        <v>0.03</v>
      </c>
      <c r="L16" s="49">
        <v>0.51</v>
      </c>
      <c r="M16" s="49">
        <v>2.02</v>
      </c>
      <c r="N16" s="49">
        <v>13.4</v>
      </c>
      <c r="O16" s="49"/>
      <c r="P16" s="11">
        <f aca="true" t="shared" si="1" ref="P16:P31">SUM(F16:O16)</f>
        <v>100.17</v>
      </c>
      <c r="Q16" s="11"/>
      <c r="R16" s="49">
        <v>56.3</v>
      </c>
      <c r="S16" s="49"/>
      <c r="T16" s="49">
        <v>31.4</v>
      </c>
      <c r="U16" s="49">
        <v>0.31</v>
      </c>
      <c r="V16" s="49"/>
      <c r="W16" s="49">
        <v>0.05</v>
      </c>
      <c r="X16" s="49">
        <v>14.6</v>
      </c>
      <c r="Y16" s="49">
        <v>2.7</v>
      </c>
      <c r="Z16" s="49">
        <v>0.71</v>
      </c>
      <c r="AA16" s="49"/>
      <c r="AB16" s="11">
        <f aca="true" t="shared" si="2" ref="AB16:AB31">SUM(R16:AA16)</f>
        <v>106.06999999999998</v>
      </c>
      <c r="AD16" s="54">
        <f>10^4/(9.8-0.0976*C16-2.46*LN(GC16)-14.2*EK16+423.4*EQ16-2.42*LN(CQ16)-11.4*BG16*BH16)</f>
        <v>1129.8174161144755</v>
      </c>
      <c r="AE16" s="54">
        <f>(-442-3.72*C16)/(-0.11+0.1*LN(GC16)-3.27*CQ16+0.098*LN(CQ16)+0.52*BG16*BH16)</f>
        <v>945.125238766269</v>
      </c>
      <c r="AF16" s="54">
        <f aca="true" t="shared" si="3" ref="AF16:AF31">10^4/(100.638-0.0975*C16-4.9825*BG16-115.03*CR16-95.745*CS16+45.68*FS16-2.5182*LN(CQ16)+3.7522*LN(GC16)-15.503*(CR16-0.3136)*(CS16-0.6625))</f>
        <v>980.6861406954766</v>
      </c>
      <c r="AH16" s="60">
        <f aca="true" t="shared" si="4" ref="AH16:AH31">CQ16</f>
        <v>0.025347818136795482</v>
      </c>
      <c r="AI16" s="60">
        <f aca="true" t="shared" si="5" ref="AI16:AI31">CR16</f>
        <v>0.1816751488719162</v>
      </c>
      <c r="AJ16" s="60">
        <f aca="true" t="shared" si="6" ref="AJ16:AJ31">CS16</f>
        <v>0.7929770329912883</v>
      </c>
      <c r="AK16" s="60"/>
      <c r="AL16" s="60">
        <f>BG16</f>
        <v>0.7181086743640351</v>
      </c>
      <c r="AM16" s="60">
        <f>BH16</f>
        <v>0.240311652595134</v>
      </c>
      <c r="AN16" s="60">
        <f>BI16</f>
        <v>0.041579673040830975</v>
      </c>
      <c r="AO16" s="57"/>
      <c r="AP16" s="61">
        <f aca="true" t="shared" si="7" ref="AP16:AP31">DM16</f>
        <v>1.0036214200762386</v>
      </c>
      <c r="AQ16" s="61">
        <f aca="true" t="shared" si="8" ref="AQ16:AQ31">DC16</f>
        <v>0.36300303596460665</v>
      </c>
      <c r="AR16" s="61">
        <f aca="true" t="shared" si="9" ref="AR16:AR31">DW16</f>
        <v>0.8125835584469013</v>
      </c>
      <c r="AS16" s="62"/>
      <c r="AT16" s="61">
        <f aca="true" t="shared" si="10" ref="AT16:AT31">CC16</f>
        <v>0.9208526227846212</v>
      </c>
      <c r="AU16" s="61">
        <f aca="true" t="shared" si="11" ref="AU16:AU31">BS16</f>
        <v>0.5813977879773063</v>
      </c>
      <c r="AV16" s="61">
        <f aca="true" t="shared" si="12" ref="AV16:AV31">CM16</f>
        <v>1.133359402537215</v>
      </c>
      <c r="AX16" s="63">
        <f>AT16-AP16</f>
        <v>-0.08276879729161735</v>
      </c>
      <c r="AY16" s="63">
        <f>AU16-AQ16</f>
        <v>0.2183947520126997</v>
      </c>
      <c r="AZ16" s="63">
        <f>AV16-AR16</f>
        <v>0.32077584409031357</v>
      </c>
      <c r="BB16" s="11">
        <f aca="true" t="shared" si="13" ref="BB16:BB31">D16+273.15</f>
        <v>1048.15</v>
      </c>
      <c r="BD16" s="9">
        <f aca="true" t="shared" si="14" ref="BD16:BD31">BF16-273.15</f>
        <v>980.6861406954766</v>
      </c>
      <c r="BF16" s="29">
        <f aca="true" t="shared" si="15" ref="BF16:BF31">AF16+273.15</f>
        <v>1253.8361406954766</v>
      </c>
      <c r="BG16" s="11">
        <f>FX16</f>
        <v>0.7181086743640351</v>
      </c>
      <c r="BH16" s="11">
        <f>FY16</f>
        <v>0.240311652595134</v>
      </c>
      <c r="BI16" s="11">
        <f>FZ16</f>
        <v>0.041579673040830975</v>
      </c>
      <c r="BJ16" s="11">
        <f>SUM(BG16:BI16)</f>
        <v>1</v>
      </c>
      <c r="BK16" s="11">
        <f aca="true" t="shared" si="16" ref="BK16:BK31">($BP$5-BF16*$BQ$5+$BR$5*1000*C16)*(2*BH16*BI16*(1-BH16)+BI16*BG16*(0.5-BH16))</f>
        <v>405.6598102063167</v>
      </c>
      <c r="BL16" s="11">
        <f aca="true" t="shared" si="17" ref="BL16:BL31">($BP$4-BF16*$BQ$4+$BR$4*1000*C16)*(BI16^2*(1-2*BH16)+BI16*BG16*(0.5-BH16))</f>
        <v>72.2149665689638</v>
      </c>
      <c r="BM16" s="11">
        <f aca="true" t="shared" si="18" ref="BM16:BM31">($BP$6-BF16*$BQ$6+$BR$6*1000*C16)*(BG16^2*(1-2*BH16)+BI16*BG16*(0.5-BH16))</f>
        <v>7102.334448307549</v>
      </c>
      <c r="BN16" s="11">
        <f aca="true" t="shared" si="19" ref="BN16:BN31">($BP$7-BF16*$BQ$7+$BR$7*1000*C16)*(2*BG16*BH16*(1-BH16)+BI16*BG16*(0.5-BH16))</f>
        <v>3141.5794030847387</v>
      </c>
      <c r="BO16" s="11">
        <f aca="true" t="shared" si="20" ref="BO16:BO31">($BP$8-BF16*$BQ$8+$BR$8*1000*C16)*(BI16*BG16*(0.5-BH16-2*BG16))</f>
        <v>-1829.1952780319464</v>
      </c>
      <c r="BP16" s="11">
        <f aca="true" t="shared" si="21" ref="BP16:BP31">($BP$9-BF16*$BQ$9+$BR$9*1000*C16)*(BI16*BG16*(0.5-BH16-2*BI16))</f>
        <v>237.17625476401275</v>
      </c>
      <c r="BQ16" s="11">
        <f aca="true" t="shared" si="22" ref="BQ16:BQ31">($BP$10-BF16*$BQ$10+$BR$10*1000*C16)*(BI16*BG16*(1-2*BH16))</f>
        <v>80.61019583468908</v>
      </c>
      <c r="BR16" s="11">
        <f>SUM(BK16:BQ16)</f>
        <v>9210.379800734323</v>
      </c>
      <c r="BS16" s="11">
        <f aca="true" t="shared" si="23" ref="BS16:BS31">BH16*EXP(BR16/(8.3144*BF16))</f>
        <v>0.5813977879773063</v>
      </c>
      <c r="BU16" s="11">
        <f aca="true" t="shared" si="24" ref="BU16:BU31">($BP$5-BF16*$BQ$5+$BR$5*1000*C16)*BH16*BI16*(0.5-BG16-2*BH16)</f>
        <v>-123.4856746641827</v>
      </c>
      <c r="BV16" s="11">
        <f aca="true" t="shared" si="25" ref="BV16:BV31">($BP$4-$BQ$4*BF16+$BR$4*1000*C16)*(BH16*BI16*(0.5-BG16-2*BI16))</f>
        <v>-25.12608391529389</v>
      </c>
      <c r="BW16" s="11">
        <f aca="true" t="shared" si="26" ref="BW16:BW31">($BP$6-BF16*$BQ$6+$BR$6*1000*C16)*(2*BH16*BG16*(1-BG16)+BH16*BI16*(0.5-BG16))</f>
        <v>2451.215567420561</v>
      </c>
      <c r="BX16" s="11">
        <f aca="true" t="shared" si="27" ref="BX16:BX31">($BP$7-BF16*$BQ$7+$BR$7*1000*C16)*(BH16^2*(1-2*BG16)+BH16*BI16*(0.5-BG16))</f>
        <v>-318.52799407630806</v>
      </c>
      <c r="BY16" s="11">
        <f aca="true" t="shared" si="28" ref="BY16:BY31">($BP$8-BF16*$BQ$8+$BR$8*C16*1000)*(2*BI16*BG16*(1-BG16)+BH16*BI16*(0.5-BG16))</f>
        <v>763.0558808806584</v>
      </c>
      <c r="BZ16" s="11">
        <f aca="true" t="shared" si="29" ref="BZ16:BZ31">($BP$9-BF16*$BQ$9+$BR$9*1000*C16)*(BI16^2*(1-2*BG16)+BH16*BI16*(0.5-BG16))</f>
        <v>-131.9997951781229</v>
      </c>
      <c r="CA16" s="11">
        <f aca="true" t="shared" si="30" ref="CA16:CA31">($BP$10-BF16*$BQ$10+$BR$10*1000*C16)*(BI16*BH16*(1-2*BG16))</f>
        <v>-22.65661939159615</v>
      </c>
      <c r="CB16" s="11">
        <f>SUM(BU16:CA16)</f>
        <v>2592.475281075716</v>
      </c>
      <c r="CC16" s="11">
        <f aca="true" t="shared" si="31" ref="CC16:CC31">BG16*EXP(CB16/(8.31447*BF16))</f>
        <v>0.9208526227846212</v>
      </c>
      <c r="CE16" s="11">
        <f aca="true" t="shared" si="32" ref="CE16:CE31">($BP$5-$BQ$5*BF16+$BR$5*1000*C16)*(BH16^2*(1-2*BI16)+BH16*BG16*(0.5-BI16))</f>
        <v>2335.6665790478096</v>
      </c>
      <c r="CF16" s="11">
        <f aca="true" t="shared" si="33" ref="CF16:CF31">($BP$4-$BQ$4*BF16+$BR$4*C16*1000)*(2*BH16*BI16*(1-BI16)+BH16*BG16*(0.5-BI16))</f>
        <v>820.1718531794581</v>
      </c>
      <c r="CG16" s="11">
        <f aca="true" t="shared" si="34" ref="CG16:CG31">($BP$6-$BQ$6*BF16+$BR$6*1000*C16)*(BH16*BG16*(0.5-BI16-2*BG16))</f>
        <v>-4348.679587898483</v>
      </c>
      <c r="CH16" s="11">
        <f aca="true" t="shared" si="35" ref="CH16:CH31">($BP$7-$BQ$7*BF16+$BR$7*C16*1000)*(BH16*BG16*(0.5-BI16-2*BH16))</f>
        <v>-44.5899237851194</v>
      </c>
      <c r="CI16" s="11">
        <f aca="true" t="shared" si="36" ref="CI16:CI31">($BP$8-$BQ$8*BF16+$BR$8*1000*C16)*(BG16^2*(1-2*BI16)+BH16*BG16*(0.5-BI16))</f>
        <v>28737.653345425326</v>
      </c>
      <c r="CJ16" s="11">
        <f aca="true" t="shared" si="37" ref="CJ16:CJ31">($BP$9-$BQ$9*BF16+$BR$9*1000*C16)*(2*BI16*BG16*(1-BI16)+BH16*BG16*(0.5-BI16))</f>
        <v>6135.073866341039</v>
      </c>
      <c r="CK16" s="11">
        <f aca="true" t="shared" si="38" ref="CK16:CK31">($BP$10-$BQ$10*BF16+$BR$10*1000*C16)*(BG16*BH16*(1-2*BI16))</f>
        <v>822.4227971536078</v>
      </c>
      <c r="CL16" s="11">
        <f>SUM(CE16:CK16)</f>
        <v>34457.71892946364</v>
      </c>
      <c r="CM16" s="11">
        <f aca="true" t="shared" si="39" ref="CM16:CM31">BI16*EXP(CL16/(8.3144*BF16))</f>
        <v>1.133359402537215</v>
      </c>
      <c r="CO16" s="11">
        <f aca="true" t="shared" si="40" ref="CO16:CO31">C16</f>
        <v>6</v>
      </c>
      <c r="CP16" s="9">
        <f aca="true" t="shared" si="41" ref="CP16:CP31">BF16</f>
        <v>1253.8361406954766</v>
      </c>
      <c r="CQ16" s="11">
        <f aca="true" t="shared" si="42" ref="CQ16:CQ22">EQ16/(EQ16+ER16+ES16)</f>
        <v>0.025347818136795482</v>
      </c>
      <c r="CR16" s="11">
        <f aca="true" t="shared" si="43" ref="CR16:CR22">ER16/(EQ16+ER16+ES16)</f>
        <v>0.1816751488719162</v>
      </c>
      <c r="CS16" s="11">
        <f aca="true" t="shared" si="44" ref="CS16:CS22">ES16/(ES16+ER16+EQ16)</f>
        <v>0.7929770329912883</v>
      </c>
      <c r="CT16" s="11">
        <f>SUM(CQ16:CS16)</f>
        <v>1</v>
      </c>
      <c r="CU16" s="11">
        <f aca="true" t="shared" si="45" ref="CU16:CU31">($BP$5-CP16*$BQ$5+$BR$5*1000*CO16)*(2*CR16*CS16*(1-CR16)+CS16*CQ16*(0.5-CR16))</f>
        <v>4283.415952844136</v>
      </c>
      <c r="CV16" s="11">
        <f aca="true" t="shared" si="46" ref="CV16:CV31">($BP$4-CP16*$BQ$4+$BR$4*1000*CO16)*(CS16^2*(1-2*CR16)+CS16*CQ16*(0.5-CR16))</f>
        <v>3394.8761923894303</v>
      </c>
      <c r="CW16" s="11">
        <f aca="true" t="shared" si="47" ref="CW16:CW31">($BP$6-CP16*$BQ$6+$BR$6*1000*CO16)*(CQ16^2*(1-2*CR16)+CS16*CQ16*(0.5-CR16))</f>
        <v>175.44007505718247</v>
      </c>
      <c r="CX16" s="11">
        <f aca="true" t="shared" si="48" ref="CX16:CX31">($BP$7-CP16*$BQ$7+$BR$7*1000*CO16)*(2*CQ16*CR16*(1-CR16)+CS16*CQ16*(0.5-CR16))</f>
        <v>162.1722286381715</v>
      </c>
      <c r="CY16" s="11">
        <f aca="true" t="shared" si="49" ref="CY16:CY31">($BP$8-CP16*$BQ$8+$BR$8*1000*CO16)*(CS16*CQ16*(0.5-CR16-2*CQ16))</f>
        <v>280.1050272066581</v>
      </c>
      <c r="CZ16" s="11">
        <f aca="true" t="shared" si="50" ref="CZ16:CZ31">($BP$9-CP16*$BQ$9+$BR$9*1000*CO16)*(CS16*CQ16*(0.5-CR16-2*CS16))</f>
        <v>-1146.5086379618579</v>
      </c>
      <c r="DA16" s="11">
        <f aca="true" t="shared" si="51" ref="DA16:DA31">($BP$10-CP16*$BQ$10+$BR$10*1000*CO16)*(CS16*CQ16*(1-2*CR16))</f>
        <v>66.51781991529639</v>
      </c>
      <c r="DB16" s="11">
        <f>SUM(CU16:DA16)</f>
        <v>7216.018658089018</v>
      </c>
      <c r="DC16" s="11">
        <f>CR16*EXP(DB16/(8.3144*CP16))</f>
        <v>0.36300303596460665</v>
      </c>
      <c r="DE16" s="11">
        <f aca="true" t="shared" si="52" ref="DE16:DE31">($BP$5-CP16*$BQ$5+$BR$5*1000*CO16)*CR16*CS16*(0.5-CQ16-2*CR16)</f>
        <v>283.6016206165452</v>
      </c>
      <c r="DF16" s="11">
        <f aca="true" t="shared" si="53" ref="DF16:DF31">($BP$4-$BQ$4*CP16+$BR$4*1000*CO16)*(CR16*CS16*(0.5-CQ16-2*CS16))</f>
        <v>-1336.300270974411</v>
      </c>
      <c r="DG16" s="11">
        <f aca="true" t="shared" si="54" ref="DG16:DG31">($BP$6-CP16*$BQ$6+$BR$6*1000*CO16)*(2*CR16*CQ16*(1-CQ16)+CR16*CS16*(0.5-CQ16))</f>
        <v>1993.6262714301042</v>
      </c>
      <c r="DH16" s="11">
        <f aca="true" t="shared" si="55" ref="DH16:DH31">($BP$7-CP16*$BQ$7+$BR$7*1000*CO16)*(CR16^2*(1-2*CQ16)+CR16*CS16*(0.5-CQ16))</f>
        <v>1160.4122131693377</v>
      </c>
      <c r="DI16" s="11">
        <f aca="true" t="shared" si="56" ref="DI16:DI31">($BP$8-CP16*$BQ$8+$BR$8*CO16*1000)*(2*CS16*CQ16*(1-CQ16)+CR16*CS16*(0.5-CQ16))</f>
        <v>5600.729090019186</v>
      </c>
      <c r="DJ16" s="11">
        <f aca="true" t="shared" si="57" ref="DJ16:DJ31">($BP$9-CP16*$BQ$9+$BR$9*1000*CO16)*(CS16^2*(1-2*CQ16)+CR16*CS16*(0.5-CQ16))</f>
        <v>29937.198794647706</v>
      </c>
      <c r="DK16" s="11">
        <f aca="true" t="shared" si="58" ref="DK16:DK31">($BP$10-CP16*$BQ$10+$BR$10*1000*CO16)*(CS16*CR16*(1-2*CQ16))</f>
        <v>710.8826030387688</v>
      </c>
      <c r="DL16" s="11">
        <f>SUM(DE16:DK16)</f>
        <v>38350.150321947236</v>
      </c>
      <c r="DM16" s="11">
        <f>CQ16*EXP(DL16/(8.31447*CP16))</f>
        <v>1.0036214200762386</v>
      </c>
      <c r="DO16" s="11">
        <f aca="true" t="shared" si="59" ref="DO16:DO31">($BP$5-$BQ$5*CP16+$BR$5*1000*CO16)*(CR16^2*(1-2*CS16)+CR16*CQ16*(0.5-CS16))</f>
        <v>-365.9245902043568</v>
      </c>
      <c r="DP16" s="11">
        <f aca="true" t="shared" si="60" ref="DP16:DP31">($BP$4-$BQ$4*CP16+$BR$4*CO16*1000)*(2*CR16*CS16*(1-CS16)+CR16*CQ16*(0.5-CS16))</f>
        <v>486.61401847160784</v>
      </c>
      <c r="DQ16" s="11">
        <f aca="true" t="shared" si="61" ref="DQ16:DQ31">($BP$6-$BQ$6*CP16+$BR$6*1000*CO16)*(CR16*CQ16*(0.5-CS16-2*CQ16))</f>
        <v>-40.78728525269501</v>
      </c>
      <c r="DR16" s="11">
        <f aca="true" t="shared" si="62" ref="DR16:DR31">($BP$7-$BQ$7*CP16+$BR$7*CO16*1000)*(CR16*CQ16*(0.5-CS16-2*CR16))</f>
        <v>-35.17362190154185</v>
      </c>
      <c r="DS16" s="11">
        <f aca="true" t="shared" si="63" ref="DS16:DS31">($BP$8-$BQ$8*CP16+$BR$8*1000*CO16)*(CQ16^2*(1-2*CS16)+CR16*CQ16*(0.5-CS16))</f>
        <v>-89.85492299984394</v>
      </c>
      <c r="DT16" s="11">
        <f aca="true" t="shared" si="64" ref="DT16:DT31">($BP$9-$BQ$9*CP16+$BR$9*1000*CO16)*(2*CS16*CQ16*(1-CS16)+CR16*CQ16*(0.5-CS16))</f>
        <v>313.77523002595194</v>
      </c>
      <c r="DU16" s="11">
        <f aca="true" t="shared" si="65" ref="DU16:DU31">($BP$10-$BQ$10*CP16+$BR$10*1000*CO16)*(CQ16*CR16*(1-2*CS16))</f>
        <v>-14.026068470491957</v>
      </c>
      <c r="DV16" s="11">
        <f>SUM(DO16:DU16)</f>
        <v>254.62275966863024</v>
      </c>
      <c r="DW16" s="11">
        <f>CS16*EXP(DV16/(8.3144*CP16))</f>
        <v>0.8125835584469013</v>
      </c>
      <c r="DY16" s="11">
        <f aca="true" t="shared" si="66" ref="DY16:DY31">F16/60.0843</f>
        <v>1.0818133855266683</v>
      </c>
      <c r="DZ16" s="11">
        <f aca="true" t="shared" si="67" ref="DZ16:DZ31">G16/79.8788</f>
        <v>0</v>
      </c>
      <c r="EA16" s="11">
        <f>2*H402/101.961278</f>
        <v>0</v>
      </c>
      <c r="EB16" s="11">
        <f aca="true" t="shared" si="68" ref="EB16:EB31">I16/71.8464</f>
        <v>0.0015310440049884197</v>
      </c>
      <c r="EC16" s="11">
        <f aca="true" t="shared" si="69" ref="EC16:EC31">J16/70.93745</f>
        <v>0</v>
      </c>
      <c r="ED16" s="11">
        <f aca="true" t="shared" si="70" ref="ED16:ED31">K16/40.3044</f>
        <v>0.0007443356060380504</v>
      </c>
      <c r="EE16" s="11">
        <f aca="true" t="shared" si="71" ref="EE16:EE31">L16/56.0774</f>
        <v>0.009094572858228093</v>
      </c>
      <c r="EF16" s="11">
        <f aca="true" t="shared" si="72" ref="EF16:EF31">2*M16/61.978936</f>
        <v>0.06518343586924435</v>
      </c>
      <c r="EG16" s="11">
        <f aca="true" t="shared" si="73" ref="EG16:EG31">2*N16/94.196</f>
        <v>0.28451314280861184</v>
      </c>
      <c r="EH16" s="11">
        <f aca="true" t="shared" si="74" ref="EH16:EH31">2*O16/151.9904</f>
        <v>0</v>
      </c>
      <c r="EI16" s="11">
        <f>SUM(DY16:EH16)</f>
        <v>1.4428799166737794</v>
      </c>
      <c r="EJ16" s="11"/>
      <c r="EK16" s="11">
        <f>DY16/$EI16</f>
        <v>0.7497598192513032</v>
      </c>
      <c r="EL16" s="11">
        <f aca="true" t="shared" si="75" ref="EL16:EL31">DZ16/$EI16</f>
        <v>0</v>
      </c>
      <c r="EM16" s="11">
        <f aca="true" t="shared" si="76" ref="EM16:EM31">EA16/$EI16</f>
        <v>0</v>
      </c>
      <c r="EN16" s="11">
        <f aca="true" t="shared" si="77" ref="EN16:EN31">EB16/$EI16</f>
        <v>0.0010611028591470605</v>
      </c>
      <c r="EO16" s="11">
        <f aca="true" t="shared" si="78" ref="EO16:EO31">EC16/$EI16</f>
        <v>0</v>
      </c>
      <c r="EP16" s="11">
        <f aca="true" t="shared" si="79" ref="EP16:EP31">ED16/$EI16</f>
        <v>0.0005158680202257866</v>
      </c>
      <c r="EQ16" s="11">
        <f aca="true" t="shared" si="80" ref="EQ16:EQ31">EE16/$EI16</f>
        <v>0.006303069821079425</v>
      </c>
      <c r="ER16" s="11">
        <f aca="true" t="shared" si="81" ref="ER16:ER31">EF16/$EI16</f>
        <v>0.04517592567197792</v>
      </c>
      <c r="ES16" s="11">
        <f aca="true" t="shared" si="82" ref="ES16:ES31">EG16/$EI16</f>
        <v>0.19718421437626635</v>
      </c>
      <c r="ET16" s="11">
        <f aca="true" t="shared" si="83" ref="ET16:ET31">EH16/$EI16</f>
        <v>0</v>
      </c>
      <c r="EU16" s="9">
        <f>SUM(EK16:ET16)</f>
        <v>0.9999999999999997</v>
      </c>
      <c r="EV16" s="9">
        <f>EQ16/(EQ16+ER16+ES16)</f>
        <v>0.025347818136795482</v>
      </c>
      <c r="EW16" s="9">
        <f>ER16/(EQ16+ER16+ES16)</f>
        <v>0.1816751488719162</v>
      </c>
      <c r="EX16" s="9">
        <f>ES16/(EQ16+ER16+ES16)</f>
        <v>0.7929770329912883</v>
      </c>
      <c r="EZ16" s="11">
        <f aca="true" t="shared" si="84" ref="EZ16:EZ31">R16/60.0843</f>
        <v>0.9370168246946373</v>
      </c>
      <c r="FA16" s="11">
        <f aca="true" t="shared" si="85" ref="FA16:FA31">S16/79.8788</f>
        <v>0</v>
      </c>
      <c r="FB16" s="11">
        <f aca="true" t="shared" si="86" ref="FB16:FB31">2*T16/101.961278</f>
        <v>0.6159200946853569</v>
      </c>
      <c r="FC16" s="11">
        <f aca="true" t="shared" si="87" ref="FC16:FC31">U16/71.8464</f>
        <v>0.004314760377694638</v>
      </c>
      <c r="FD16" s="11">
        <f aca="true" t="shared" si="88" ref="FD16:FD31">V16/70.93745</f>
        <v>0</v>
      </c>
      <c r="FE16" s="11">
        <f aca="true" t="shared" si="89" ref="FE16:FE31">W16/40.3044</f>
        <v>0.0012405593433967507</v>
      </c>
      <c r="FF16" s="11">
        <f aca="true" t="shared" si="90" ref="FF16:FF31">X16/56.0774</f>
        <v>0.2603544386865297</v>
      </c>
      <c r="FG16" s="11">
        <f aca="true" t="shared" si="91" ref="FG16:FG31">2*Y16/61.978936</f>
        <v>0.08712637467671276</v>
      </c>
      <c r="FH16" s="11">
        <f aca="true" t="shared" si="92" ref="FH16:FH31">2*Z16/94.196</f>
        <v>0.015074950104038387</v>
      </c>
      <c r="FI16" s="11">
        <f>2*'Plag P-T Results'!AA34/151.9904</f>
        <v>0</v>
      </c>
      <c r="FJ16" s="11">
        <f>SUM(EZ16:FI16)</f>
        <v>1.9210480025683667</v>
      </c>
      <c r="FK16" s="34">
        <f>(EP16*FO16)/(EN16*FQ16)</f>
        <v>1.690909090909091</v>
      </c>
      <c r="FL16" s="11">
        <f>EZ16/$FJ16</f>
        <v>0.48776335804304843</v>
      </c>
      <c r="FM16" s="11">
        <f aca="true" t="shared" si="93" ref="FM16:FM31">FA16/$FJ16</f>
        <v>0</v>
      </c>
      <c r="FN16" s="11">
        <f aca="true" t="shared" si="94" ref="FN16:FN31">FB16/$FJ16</f>
        <v>0.32061671226429306</v>
      </c>
      <c r="FO16" s="11">
        <f aca="true" t="shared" si="95" ref="FO16:FO31">FC16/$FJ16</f>
        <v>0.0022460450607824324</v>
      </c>
      <c r="FP16" s="11">
        <f aca="true" t="shared" si="96" ref="FP16:FP31">FD16/$FJ16</f>
        <v>0</v>
      </c>
      <c r="FQ16" s="11">
        <f aca="true" t="shared" si="97" ref="FQ16:FQ31">FE16/$FJ16</f>
        <v>0.0006457721731774381</v>
      </c>
      <c r="FR16" s="11">
        <f aca="true" t="shared" si="98" ref="FR16:FR31">FF16/$FJ16</f>
        <v>0.1355272946529425</v>
      </c>
      <c r="FS16" s="11">
        <f aca="true" t="shared" si="99" ref="FS16:FS31">FG16/$FJ16</f>
        <v>0.04535356459611013</v>
      </c>
      <c r="FT16" s="11">
        <f aca="true" t="shared" si="100" ref="FT16:FT31">FH16/$FJ16</f>
        <v>0.007847253209645862</v>
      </c>
      <c r="FU16" s="11">
        <f aca="true" t="shared" si="101" ref="FU16:FU31">FI16/$FJ16</f>
        <v>0</v>
      </c>
      <c r="FV16" s="11">
        <f>SUM(FL16:FU16)</f>
        <v>0.9999999999999999</v>
      </c>
      <c r="FX16" s="11">
        <f>FR16/(FR16+FS16+FT16)</f>
        <v>0.7181086743640351</v>
      </c>
      <c r="FY16" s="11">
        <f>FS16/(FR16+FS16+FT16)</f>
        <v>0.240311652595134</v>
      </c>
      <c r="FZ16" s="11">
        <f>FT16/(FR16+FS16+FT16)</f>
        <v>0.041579673040830975</v>
      </c>
      <c r="GA16" s="11">
        <f>SUM(FX16:FZ16)</f>
        <v>1</v>
      </c>
      <c r="GC16" s="11">
        <f>CR16/BH16</f>
        <v>0.7559980837799576</v>
      </c>
      <c r="GD16" s="11">
        <f>-273.15+1/((LN(GC16)-0.8)/(-1400))</f>
        <v>1023.4867384909109</v>
      </c>
      <c r="GE16" s="11">
        <f>1/((LN(GC16)-LN(2.55))/-1600)-273.15</f>
        <v>1042.8453180152633</v>
      </c>
      <c r="GF16" s="11">
        <f>1/((LN(GC16)-LN(2.97))/(-1850))-273.15</f>
        <v>1078.9140339794426</v>
      </c>
      <c r="GG16" s="11">
        <f>1/((LN(GC16)-LN(5.42))/-2500)-273.15</f>
        <v>996.0064875123109</v>
      </c>
      <c r="GI16" s="11">
        <f>6326.7-9963.2*CR16+943.3*CR16^2+2690.2*CR16^3</f>
        <v>4563.89995014527</v>
      </c>
      <c r="GJ16" s="11">
        <f aca="true" t="shared" si="102" ref="GJ16:GJ31">1000*C16*(0.0925-0.1458*CR16+0.0141*CR16^2+0.0392*CR16^3)</f>
        <v>400.27321572014887</v>
      </c>
      <c r="GK16" s="11">
        <f>-1.9872*LN(GC16)+4.6321-10.815*CR16+7.7345*CR16^2-1.5512*CR16^3</f>
        <v>3.469118061959196</v>
      </c>
      <c r="GL16" s="11">
        <f>-273.15+(GI16+GJ16)/GK16</f>
        <v>1157.8111483968596</v>
      </c>
      <c r="GN16" s="11">
        <f t="shared" si="0"/>
        <v>775</v>
      </c>
    </row>
    <row r="17" spans="1:196" ht="12.75">
      <c r="A17" s="11" t="s">
        <v>79</v>
      </c>
      <c r="B17" s="11" t="s">
        <v>81</v>
      </c>
      <c r="C17" s="50">
        <v>15</v>
      </c>
      <c r="D17" s="9">
        <v>950</v>
      </c>
      <c r="E17" s="11"/>
      <c r="F17" s="49">
        <v>65.5</v>
      </c>
      <c r="G17" s="49"/>
      <c r="H17" s="49">
        <v>19.6</v>
      </c>
      <c r="I17" s="49">
        <v>0.07</v>
      </c>
      <c r="J17" s="49"/>
      <c r="K17" s="49">
        <v>0</v>
      </c>
      <c r="L17" s="49">
        <v>0.75</v>
      </c>
      <c r="M17" s="49">
        <v>4.81</v>
      </c>
      <c r="N17" s="49">
        <v>9.36</v>
      </c>
      <c r="O17" s="49"/>
      <c r="P17" s="11">
        <f t="shared" si="1"/>
        <v>100.08999999999999</v>
      </c>
      <c r="Q17" s="11"/>
      <c r="R17" s="49">
        <v>60.5</v>
      </c>
      <c r="S17" s="49"/>
      <c r="T17" s="49">
        <v>24.8</v>
      </c>
      <c r="U17" s="49">
        <v>0.07</v>
      </c>
      <c r="V17" s="49"/>
      <c r="W17" s="49">
        <v>0</v>
      </c>
      <c r="X17" s="49">
        <v>5.92</v>
      </c>
      <c r="Y17" s="49">
        <v>7.36</v>
      </c>
      <c r="Z17" s="49">
        <v>1.42</v>
      </c>
      <c r="AA17" s="49"/>
      <c r="AB17" s="11">
        <f t="shared" si="2"/>
        <v>100.07</v>
      </c>
      <c r="AD17" s="54">
        <f aca="true" t="shared" si="103" ref="AD17:AD31">10^4/(9.8-0.00976*C17-2.46*LN(GC17)-14.2*EK17+423.4*EQ17-2.42*LN(CQ17)-11.4*BG17*BH17)</f>
        <v>1010.6414792671138</v>
      </c>
      <c r="AE17" s="54">
        <f aca="true" t="shared" si="104" ref="AE17:AE31">(-442-3.72*C17)/(-0.11+0.1*LN(GC17)-3.27*CQ17+0.098*LN(CQ17)+0.52*BG17*BH17)</f>
        <v>993.4728839809061</v>
      </c>
      <c r="AF17" s="54">
        <f t="shared" si="3"/>
        <v>982.4278214861649</v>
      </c>
      <c r="AH17" s="60">
        <f t="shared" si="4"/>
        <v>0.036410390120447986</v>
      </c>
      <c r="AI17" s="60">
        <f t="shared" si="5"/>
        <v>0.4225546585751163</v>
      </c>
      <c r="AJ17" s="60">
        <f t="shared" si="6"/>
        <v>0.5410349513044357</v>
      </c>
      <c r="AK17" s="60"/>
      <c r="AL17" s="60">
        <f aca="true" t="shared" si="105" ref="AL17:AL31">BG17</f>
        <v>0.2828595751864205</v>
      </c>
      <c r="AM17" s="60">
        <f aca="true" t="shared" si="106" ref="AM17:AM31">BH17</f>
        <v>0.6363568762028415</v>
      </c>
      <c r="AN17" s="60">
        <f aca="true" t="shared" si="107" ref="AN17:AN31">BI17</f>
        <v>0.080783548610738</v>
      </c>
      <c r="AO17" s="57"/>
      <c r="AP17" s="61">
        <f t="shared" si="7"/>
        <v>0.47208280912033374</v>
      </c>
      <c r="AQ17" s="61">
        <f t="shared" si="8"/>
        <v>0.732312576516535</v>
      </c>
      <c r="AR17" s="61">
        <f t="shared" si="9"/>
        <v>0.6900453676295139</v>
      </c>
      <c r="AS17" s="62"/>
      <c r="AT17" s="61">
        <f t="shared" si="10"/>
        <v>0.8003419746858662</v>
      </c>
      <c r="AU17" s="61">
        <f t="shared" si="11"/>
        <v>0.6592640713822119</v>
      </c>
      <c r="AV17" s="61">
        <f t="shared" si="12"/>
        <v>0.5954436044741417</v>
      </c>
      <c r="AX17" s="63">
        <f>AT17-AP17</f>
        <v>0.3282591655655325</v>
      </c>
      <c r="AY17" s="63">
        <f aca="true" t="shared" si="108" ref="AY17:AY31">AU17-AQ17</f>
        <v>-0.07304850513432315</v>
      </c>
      <c r="AZ17" s="63">
        <f aca="true" t="shared" si="109" ref="AZ17:AZ31">AV17-AR17</f>
        <v>-0.09460176315537216</v>
      </c>
      <c r="BB17" s="11">
        <f t="shared" si="13"/>
        <v>1223.15</v>
      </c>
      <c r="BD17" s="9">
        <f t="shared" si="14"/>
        <v>982.4278214861648</v>
      </c>
      <c r="BF17" s="29">
        <f t="shared" si="15"/>
        <v>1255.5778214861648</v>
      </c>
      <c r="BG17" s="11">
        <f aca="true" t="shared" si="110" ref="BG17:BG31">FX17</f>
        <v>0.2828595751864205</v>
      </c>
      <c r="BH17" s="11">
        <f aca="true" t="shared" si="111" ref="BH17:BH31">FY17</f>
        <v>0.6363568762028415</v>
      </c>
      <c r="BI17" s="11">
        <f aca="true" t="shared" si="112" ref="BI17:BI31">FZ17</f>
        <v>0.080783548610738</v>
      </c>
      <c r="BJ17" s="11">
        <f>SUM(BG17:BI17)</f>
        <v>1</v>
      </c>
      <c r="BK17" s="11">
        <f t="shared" si="16"/>
        <v>747.9797620294056</v>
      </c>
      <c r="BL17" s="11">
        <f t="shared" si="17"/>
        <v>-55.17968468749177</v>
      </c>
      <c r="BM17" s="11">
        <f t="shared" si="18"/>
        <v>-657.9209561351794</v>
      </c>
      <c r="BN17" s="11">
        <f t="shared" si="19"/>
        <v>1431.2428843041018</v>
      </c>
      <c r="BO17" s="11">
        <f t="shared" si="20"/>
        <v>-797.4105961740654</v>
      </c>
      <c r="BP17" s="11">
        <f t="shared" si="21"/>
        <v>-293.32619299348414</v>
      </c>
      <c r="BQ17" s="11">
        <f t="shared" si="22"/>
        <v>-6.2004603020207485</v>
      </c>
      <c r="BR17" s="11">
        <f>SUM(BK17:BQ17)</f>
        <v>369.184756041266</v>
      </c>
      <c r="BS17" s="11">
        <f t="shared" si="23"/>
        <v>0.6592640713822119</v>
      </c>
      <c r="BU17" s="11">
        <f t="shared" si="24"/>
        <v>-1184.3049291589825</v>
      </c>
      <c r="BV17" s="11">
        <f t="shared" si="25"/>
        <v>32.200988142838725</v>
      </c>
      <c r="BW17" s="11">
        <f t="shared" si="26"/>
        <v>7106.313780440249</v>
      </c>
      <c r="BX17" s="11">
        <f t="shared" si="27"/>
        <v>2094.5791015653044</v>
      </c>
      <c r="BY17" s="11">
        <f t="shared" si="28"/>
        <v>2183.8819753714906</v>
      </c>
      <c r="BZ17" s="11">
        <f t="shared" si="29"/>
        <v>603.082471601417</v>
      </c>
      <c r="CA17" s="11">
        <f t="shared" si="30"/>
        <v>22.213522266401856</v>
      </c>
      <c r="CB17" s="11">
        <f>SUM(BU17:CA17)</f>
        <v>10857.966910228719</v>
      </c>
      <c r="CC17" s="11">
        <f t="shared" si="31"/>
        <v>0.8003419746858662</v>
      </c>
      <c r="CE17" s="11">
        <f t="shared" si="32"/>
        <v>9056.929928067175</v>
      </c>
      <c r="CF17" s="11">
        <f t="shared" si="33"/>
        <v>1915.7765356869638</v>
      </c>
      <c r="CG17" s="11">
        <f t="shared" si="34"/>
        <v>-695.7812177435038</v>
      </c>
      <c r="CH17" s="11">
        <f t="shared" si="35"/>
        <v>-1720.5675417817056</v>
      </c>
      <c r="CI17" s="11">
        <f t="shared" si="36"/>
        <v>7085.086966352405</v>
      </c>
      <c r="CJ17" s="11">
        <f t="shared" si="37"/>
        <v>5061.394417953435</v>
      </c>
      <c r="CK17" s="11">
        <f t="shared" si="38"/>
        <v>150.16302894844966</v>
      </c>
      <c r="CL17" s="11">
        <f>SUM(CE17:CK17)</f>
        <v>20853.002117483218</v>
      </c>
      <c r="CM17" s="11">
        <f t="shared" si="39"/>
        <v>0.5954436044741417</v>
      </c>
      <c r="CO17" s="11">
        <f t="shared" si="40"/>
        <v>15</v>
      </c>
      <c r="CP17" s="9">
        <f t="shared" si="41"/>
        <v>1255.5778214861648</v>
      </c>
      <c r="CQ17" s="11">
        <f t="shared" si="42"/>
        <v>0.036410390120447986</v>
      </c>
      <c r="CR17" s="11">
        <f t="shared" si="43"/>
        <v>0.4225546585751163</v>
      </c>
      <c r="CS17" s="11">
        <f t="shared" si="44"/>
        <v>0.5410349513044357</v>
      </c>
      <c r="CT17" s="11">
        <f>SUM(CQ17:CS17)</f>
        <v>1</v>
      </c>
      <c r="CU17" s="11">
        <f t="shared" si="45"/>
        <v>5795.6586325131075</v>
      </c>
      <c r="CV17" s="11">
        <f t="shared" si="46"/>
        <v>528.2361097720944</v>
      </c>
      <c r="CW17" s="11">
        <f t="shared" si="47"/>
        <v>45.67119712747199</v>
      </c>
      <c r="CX17" s="11">
        <f t="shared" si="48"/>
        <v>216.0833769692887</v>
      </c>
      <c r="CY17" s="11">
        <f t="shared" si="49"/>
        <v>4.528196147549587</v>
      </c>
      <c r="CZ17" s="11">
        <f t="shared" si="50"/>
        <v>-852.7191736151033</v>
      </c>
      <c r="DA17" s="11">
        <f t="shared" si="51"/>
        <v>3.035980859232545</v>
      </c>
      <c r="DB17" s="11">
        <f>SUM(CU17:DA17)</f>
        <v>5740.494319773641</v>
      </c>
      <c r="DC17" s="11">
        <f>CR17*EXP(DB17/(8.3144*CP17))</f>
        <v>0.732312576516535</v>
      </c>
      <c r="DE17" s="11">
        <f t="shared" si="52"/>
        <v>-1903.6041946447122</v>
      </c>
      <c r="DF17" s="11">
        <f t="shared" si="53"/>
        <v>-1593.7243593150047</v>
      </c>
      <c r="DG17" s="11">
        <f t="shared" si="54"/>
        <v>3578.7099698712545</v>
      </c>
      <c r="DH17" s="11">
        <f t="shared" si="55"/>
        <v>3041.045856876861</v>
      </c>
      <c r="DI17" s="11">
        <f t="shared" si="56"/>
        <v>7155.0236260441825</v>
      </c>
      <c r="DJ17" s="11">
        <f t="shared" si="57"/>
        <v>16260.681569944329</v>
      </c>
      <c r="DK17" s="11">
        <f t="shared" si="58"/>
        <v>210.90893861169167</v>
      </c>
      <c r="DL17" s="11">
        <f>SUM(DE17:DK17)</f>
        <v>26749.0414073886</v>
      </c>
      <c r="DM17" s="11">
        <f>CQ17*EXP(DL17/(8.31447*CP17))</f>
        <v>0.47208280912033374</v>
      </c>
      <c r="DO17" s="11">
        <f t="shared" si="59"/>
        <v>-333.59559194510524</v>
      </c>
      <c r="DP17" s="11">
        <f t="shared" si="60"/>
        <v>2358.242313693321</v>
      </c>
      <c r="DQ17" s="11">
        <f t="shared" si="61"/>
        <v>-46.21879022440113</v>
      </c>
      <c r="DR17" s="11">
        <f t="shared" si="62"/>
        <v>-152.69000408146826</v>
      </c>
      <c r="DS17" s="11">
        <f t="shared" si="63"/>
        <v>-36.78898211942031</v>
      </c>
      <c r="DT17" s="11">
        <f t="shared" si="64"/>
        <v>751.9306361088408</v>
      </c>
      <c r="DU17" s="11">
        <f t="shared" si="65"/>
        <v>-1.2563632522275534</v>
      </c>
      <c r="DV17" s="11">
        <f>SUM(DO17:DU17)</f>
        <v>2539.6232181795394</v>
      </c>
      <c r="DW17" s="11">
        <f>CS17*EXP(DV17/(8.3144*CP17))</f>
        <v>0.6900453676295139</v>
      </c>
      <c r="DY17" s="11">
        <f t="shared" si="66"/>
        <v>1.0901350269537966</v>
      </c>
      <c r="DZ17" s="11">
        <f t="shared" si="67"/>
        <v>0</v>
      </c>
      <c r="EA17" s="11">
        <f>2*H403/101.961278</f>
        <v>0</v>
      </c>
      <c r="EB17" s="11">
        <f t="shared" si="68"/>
        <v>0.0009743007304471763</v>
      </c>
      <c r="EC17" s="11">
        <f t="shared" si="69"/>
        <v>0</v>
      </c>
      <c r="ED17" s="11">
        <f t="shared" si="70"/>
        <v>0</v>
      </c>
      <c r="EE17" s="11">
        <f t="shared" si="71"/>
        <v>0.01337437185033543</v>
      </c>
      <c r="EF17" s="11">
        <f t="shared" si="72"/>
        <v>0.15521402303518084</v>
      </c>
      <c r="EG17" s="11">
        <f t="shared" si="73"/>
        <v>0.19873455348422436</v>
      </c>
      <c r="EH17" s="11">
        <f t="shared" si="74"/>
        <v>0</v>
      </c>
      <c r="EI17" s="11">
        <f>SUM(DY17:EH17)</f>
        <v>1.4584322760539845</v>
      </c>
      <c r="EJ17" s="11"/>
      <c r="EK17" s="11">
        <f>DY17/$EI17</f>
        <v>0.7474704481330642</v>
      </c>
      <c r="EL17" s="11">
        <f t="shared" si="75"/>
        <v>0</v>
      </c>
      <c r="EM17" s="11">
        <f t="shared" si="76"/>
        <v>0</v>
      </c>
      <c r="EN17" s="11">
        <f t="shared" si="77"/>
        <v>0.0006680466048675901</v>
      </c>
      <c r="EO17" s="11">
        <f t="shared" si="78"/>
        <v>0</v>
      </c>
      <c r="EP17" s="11">
        <f t="shared" si="79"/>
        <v>0</v>
      </c>
      <c r="EQ17" s="11">
        <f t="shared" si="80"/>
        <v>0.009170375662915163</v>
      </c>
      <c r="ER17" s="11">
        <f t="shared" si="81"/>
        <v>0.10642525236422806</v>
      </c>
      <c r="ES17" s="11">
        <f t="shared" si="82"/>
        <v>0.1362658772349249</v>
      </c>
      <c r="ET17" s="11">
        <f t="shared" si="83"/>
        <v>0</v>
      </c>
      <c r="EU17" s="9">
        <f>SUM(EK17:ET17)</f>
        <v>0.9999999999999999</v>
      </c>
      <c r="EV17" s="9">
        <f>EQ17/(EQ17+ER17+ES17)</f>
        <v>0.036410390120447986</v>
      </c>
      <c r="EW17" s="9">
        <f>ER17/(EQ17+ER17+ES17)</f>
        <v>0.4225546585751163</v>
      </c>
      <c r="EX17" s="9">
        <f>ES17/(EQ17+ER17+ES17)</f>
        <v>0.5410349513044357</v>
      </c>
      <c r="EZ17" s="11">
        <f t="shared" si="84"/>
        <v>1.0069186126825145</v>
      </c>
      <c r="FA17" s="11">
        <f t="shared" si="85"/>
        <v>0</v>
      </c>
      <c r="FB17" s="11">
        <f t="shared" si="86"/>
        <v>0.48645918306359404</v>
      </c>
      <c r="FC17" s="11">
        <f t="shared" si="87"/>
        <v>0.0009743007304471763</v>
      </c>
      <c r="FD17" s="11">
        <f t="shared" si="88"/>
        <v>0</v>
      </c>
      <c r="FE17" s="11">
        <f t="shared" si="89"/>
        <v>0</v>
      </c>
      <c r="FF17" s="11">
        <f t="shared" si="90"/>
        <v>0.10556837513864765</v>
      </c>
      <c r="FG17" s="11">
        <f t="shared" si="91"/>
        <v>0.23750004356318735</v>
      </c>
      <c r="FH17" s="11">
        <f t="shared" si="92"/>
        <v>0.030149900208076775</v>
      </c>
      <c r="FI17" s="11">
        <f>2*'Plag P-T Results'!AA35/151.9904</f>
        <v>0</v>
      </c>
      <c r="FJ17" s="11">
        <f>SUM(EZ17:FI17)</f>
        <v>1.8675704153864674</v>
      </c>
      <c r="FK17" s="34" t="e">
        <f>(EP17*FO17)/(EN17*FQ17)</f>
        <v>#DIV/0!</v>
      </c>
      <c r="FL17" s="11">
        <f>EZ17/$FJ17</f>
        <v>0.5391596506277633</v>
      </c>
      <c r="FM17" s="11">
        <f t="shared" si="93"/>
        <v>0</v>
      </c>
      <c r="FN17" s="11">
        <f t="shared" si="94"/>
        <v>0.2604770235466212</v>
      </c>
      <c r="FO17" s="11">
        <f t="shared" si="95"/>
        <v>0.0005216942410418075</v>
      </c>
      <c r="FP17" s="11">
        <f t="shared" si="96"/>
        <v>0</v>
      </c>
      <c r="FQ17" s="11">
        <f t="shared" si="97"/>
        <v>0</v>
      </c>
      <c r="FR17" s="11">
        <f t="shared" si="98"/>
        <v>0.05652711901457368</v>
      </c>
      <c r="FS17" s="11">
        <f t="shared" si="99"/>
        <v>0.12717059641043846</v>
      </c>
      <c r="FT17" s="11">
        <f t="shared" si="100"/>
        <v>0.016143916159561608</v>
      </c>
      <c r="FU17" s="11">
        <f t="shared" si="101"/>
        <v>0</v>
      </c>
      <c r="FV17" s="11">
        <f>SUM(FL17:FU17)</f>
        <v>1</v>
      </c>
      <c r="FX17" s="11">
        <f>FR17/(FR17+FS17+FT17)</f>
        <v>0.2828595751864205</v>
      </c>
      <c r="FY17" s="11">
        <f>FS17/(FR17+FS17+FT17)</f>
        <v>0.6363568762028415</v>
      </c>
      <c r="FZ17" s="11">
        <f>FT17/(FR17+FS17+FT17)</f>
        <v>0.080783548610738</v>
      </c>
      <c r="GA17" s="11">
        <f>SUM(FX17:FZ17)</f>
        <v>1</v>
      </c>
      <c r="GC17" s="11">
        <f>CR17/BH17</f>
        <v>0.6640215174486858</v>
      </c>
      <c r="GD17" s="11">
        <f>-273.15+1/((LN(GC17)-0.8)/(-1400))</f>
        <v>884.4098307110575</v>
      </c>
      <c r="GE17" s="11">
        <f>1/((LN(GC17)-LN(2.55))/-1600)-273.15</f>
        <v>915.9688931841782</v>
      </c>
      <c r="GF17" s="11">
        <f>1/((LN(GC17)-LN(2.97))/(-1850))-273.15</f>
        <v>961.8277662909314</v>
      </c>
      <c r="GG17" s="11">
        <f>1/((LN(GC17)-LN(5.42))/-2500)-273.15</f>
        <v>917.5889810771151</v>
      </c>
      <c r="GI17" s="11">
        <f>6326.7-9963.2*CR17+943.3*CR17^2+2690.2*CR17^3</f>
        <v>2488.1025956112408</v>
      </c>
      <c r="GJ17" s="11">
        <f t="shared" si="102"/>
        <v>545.5003237279743</v>
      </c>
      <c r="GK17" s="11">
        <f>-1.9872*LN(GC17)+4.6321-10.815*CR17+7.7345*CR17^2-1.5512*CR17^3</f>
        <v>2.139790624185507</v>
      </c>
      <c r="GL17" s="11">
        <f>-273.15+(GI17+GJ17)/GK17</f>
        <v>1144.5601652148466</v>
      </c>
      <c r="GN17" s="11">
        <f t="shared" si="0"/>
        <v>950</v>
      </c>
    </row>
    <row r="18" spans="1:196" ht="12.75">
      <c r="A18" s="11" t="s">
        <v>79</v>
      </c>
      <c r="B18" s="11" t="s">
        <v>82</v>
      </c>
      <c r="C18" s="50">
        <v>7</v>
      </c>
      <c r="D18" s="9">
        <v>900</v>
      </c>
      <c r="E18" s="11"/>
      <c r="F18" s="49">
        <v>65.4</v>
      </c>
      <c r="G18" s="49"/>
      <c r="H18" s="49">
        <v>19.4</v>
      </c>
      <c r="I18" s="49">
        <v>0.05</v>
      </c>
      <c r="J18" s="49"/>
      <c r="K18" s="49">
        <v>0</v>
      </c>
      <c r="L18" s="49">
        <v>0.59</v>
      </c>
      <c r="M18" s="49">
        <v>3.13</v>
      </c>
      <c r="N18" s="49">
        <v>11.5</v>
      </c>
      <c r="O18" s="49"/>
      <c r="P18" s="11">
        <f t="shared" si="1"/>
        <v>100.07000000000001</v>
      </c>
      <c r="Q18" s="11"/>
      <c r="R18" s="49">
        <v>57.8</v>
      </c>
      <c r="S18" s="49"/>
      <c r="T18" s="49">
        <v>26.7</v>
      </c>
      <c r="U18" s="49">
        <v>0.08</v>
      </c>
      <c r="V18" s="49"/>
      <c r="W18" s="49">
        <v>0</v>
      </c>
      <c r="X18" s="49">
        <v>8.06</v>
      </c>
      <c r="Y18" s="49">
        <v>6.08</v>
      </c>
      <c r="Z18" s="49">
        <v>1.13</v>
      </c>
      <c r="AA18" s="49"/>
      <c r="AB18" s="11">
        <f t="shared" si="2"/>
        <v>99.85</v>
      </c>
      <c r="AD18" s="54">
        <f t="shared" si="103"/>
        <v>1021.7411633018099</v>
      </c>
      <c r="AE18" s="54">
        <f t="shared" si="104"/>
        <v>926.5532365866242</v>
      </c>
      <c r="AF18" s="54">
        <f t="shared" si="3"/>
        <v>916.3962507193203</v>
      </c>
      <c r="AH18" s="60">
        <f t="shared" si="4"/>
        <v>0.029579200775742644</v>
      </c>
      <c r="AI18" s="60">
        <f t="shared" si="5"/>
        <v>0.28395695477050925</v>
      </c>
      <c r="AJ18" s="60">
        <f t="shared" si="6"/>
        <v>0.6864638444537482</v>
      </c>
      <c r="AK18" s="60"/>
      <c r="AL18" s="60">
        <f t="shared" si="105"/>
        <v>0.3949512379076453</v>
      </c>
      <c r="AM18" s="60">
        <f t="shared" si="106"/>
        <v>0.5391204001646683</v>
      </c>
      <c r="AN18" s="60">
        <f t="shared" si="107"/>
        <v>0.06592836192768657</v>
      </c>
      <c r="AO18" s="57"/>
      <c r="AP18" s="61">
        <f t="shared" si="7"/>
        <v>1.018885992813119</v>
      </c>
      <c r="AQ18" s="61">
        <f t="shared" si="8"/>
        <v>0.5568857327455344</v>
      </c>
      <c r="AR18" s="61">
        <f t="shared" si="9"/>
        <v>0.7447642315075108</v>
      </c>
      <c r="AS18" s="62"/>
      <c r="AT18" s="61">
        <f t="shared" si="10"/>
        <v>0.9874380101247895</v>
      </c>
      <c r="AU18" s="61">
        <f t="shared" si="11"/>
        <v>0.6025656126089404</v>
      </c>
      <c r="AV18" s="61">
        <f t="shared" si="12"/>
        <v>0.7357105662318503</v>
      </c>
      <c r="AX18" s="63">
        <f aca="true" t="shared" si="113" ref="AX18:AX31">AT18-AP18</f>
        <v>-0.0314479826883296</v>
      </c>
      <c r="AY18" s="63">
        <f t="shared" si="108"/>
        <v>0.04567987986340594</v>
      </c>
      <c r="AZ18" s="63">
        <f t="shared" si="109"/>
        <v>-0.009053665275660538</v>
      </c>
      <c r="BB18" s="11">
        <f t="shared" si="13"/>
        <v>1173.15</v>
      </c>
      <c r="BD18" s="9">
        <f t="shared" si="14"/>
        <v>916.3962507193202</v>
      </c>
      <c r="BF18" s="29">
        <f t="shared" si="15"/>
        <v>1189.5462507193201</v>
      </c>
      <c r="BG18" s="11">
        <f t="shared" si="110"/>
        <v>0.3949512379076453</v>
      </c>
      <c r="BH18" s="11">
        <f t="shared" si="111"/>
        <v>0.5391204001646683</v>
      </c>
      <c r="BI18" s="11">
        <f t="shared" si="112"/>
        <v>0.06592836192768657</v>
      </c>
      <c r="BJ18" s="11">
        <f>SUM(BG18:BI18)</f>
        <v>1.0000000000000002</v>
      </c>
      <c r="BK18" s="11">
        <f t="shared" si="16"/>
        <v>588.9373170489062</v>
      </c>
      <c r="BL18" s="11">
        <f t="shared" si="17"/>
        <v>-12.70229274215975</v>
      </c>
      <c r="BM18" s="11">
        <f t="shared" si="18"/>
        <v>-345.52128386010463</v>
      </c>
      <c r="BN18" s="11">
        <f t="shared" si="19"/>
        <v>2241.297712111393</v>
      </c>
      <c r="BO18" s="11">
        <f t="shared" si="20"/>
        <v>-1159.3977778937194</v>
      </c>
      <c r="BP18" s="11">
        <f t="shared" si="21"/>
        <v>-202.59688368487969</v>
      </c>
      <c r="BQ18" s="11">
        <f t="shared" si="22"/>
        <v>-9.638334554591413</v>
      </c>
      <c r="BR18" s="11">
        <f>SUM(BK18:BQ18)</f>
        <v>1100.3784564248442</v>
      </c>
      <c r="BS18" s="11">
        <f t="shared" si="23"/>
        <v>0.6025656126089404</v>
      </c>
      <c r="BU18" s="11">
        <f t="shared" si="24"/>
        <v>-641.7522993538118</v>
      </c>
      <c r="BV18" s="11">
        <f t="shared" si="25"/>
        <v>-8.90791491280559</v>
      </c>
      <c r="BW18" s="11">
        <f t="shared" si="26"/>
        <v>6830.271015822861</v>
      </c>
      <c r="BX18" s="11">
        <f t="shared" si="27"/>
        <v>743.8402053987405</v>
      </c>
      <c r="BY18" s="11">
        <f t="shared" si="28"/>
        <v>1892.8740939148431</v>
      </c>
      <c r="BZ18" s="11">
        <f t="shared" si="29"/>
        <v>211.47056548135174</v>
      </c>
      <c r="CA18" s="11">
        <f t="shared" si="30"/>
        <v>35.32904791139366</v>
      </c>
      <c r="CB18" s="11">
        <f>SUM(BU18:CA18)</f>
        <v>9063.124714262573</v>
      </c>
      <c r="CC18" s="11">
        <f t="shared" si="31"/>
        <v>0.9874380101247895</v>
      </c>
      <c r="CE18" s="11">
        <f t="shared" si="32"/>
        <v>6396.131356013626</v>
      </c>
      <c r="CF18" s="11">
        <f t="shared" si="33"/>
        <v>1484.820098833153</v>
      </c>
      <c r="CG18" s="11">
        <f t="shared" si="34"/>
        <v>-1979.7617712260162</v>
      </c>
      <c r="CH18" s="11">
        <f t="shared" si="35"/>
        <v>-1574.4971581136444</v>
      </c>
      <c r="CI18" s="11">
        <f t="shared" si="36"/>
        <v>12237.354197272043</v>
      </c>
      <c r="CJ18" s="11">
        <f t="shared" si="37"/>
        <v>6419.633140056249</v>
      </c>
      <c r="CK18" s="11">
        <f t="shared" si="38"/>
        <v>874.5277586325379</v>
      </c>
      <c r="CL18" s="11">
        <f>SUM(CE18:CK18)</f>
        <v>23858.207621467947</v>
      </c>
      <c r="CM18" s="11">
        <f t="shared" si="39"/>
        <v>0.7357105662318503</v>
      </c>
      <c r="CO18" s="11">
        <f t="shared" si="40"/>
        <v>7</v>
      </c>
      <c r="CP18" s="9">
        <f t="shared" si="41"/>
        <v>1189.5462507193201</v>
      </c>
      <c r="CQ18" s="11">
        <f t="shared" si="42"/>
        <v>0.029579200775742644</v>
      </c>
      <c r="CR18" s="11">
        <f t="shared" si="43"/>
        <v>0.28395695477050925</v>
      </c>
      <c r="CS18" s="11">
        <f t="shared" si="44"/>
        <v>0.6864638444537482</v>
      </c>
      <c r="CT18" s="11">
        <f>SUM(CQ18:CS18)</f>
        <v>1</v>
      </c>
      <c r="CU18" s="11">
        <f t="shared" si="45"/>
        <v>5260.437465390676</v>
      </c>
      <c r="CV18" s="11">
        <f t="shared" si="46"/>
        <v>1944.5413176372826</v>
      </c>
      <c r="CW18" s="11">
        <f t="shared" si="47"/>
        <v>124.50468334866365</v>
      </c>
      <c r="CX18" s="11">
        <f t="shared" si="48"/>
        <v>188.43350147753344</v>
      </c>
      <c r="CY18" s="11">
        <f t="shared" si="49"/>
        <v>171.09397784152424</v>
      </c>
      <c r="CZ18" s="11">
        <f t="shared" si="50"/>
        <v>-1068.9887835415393</v>
      </c>
      <c r="DA18" s="11">
        <f t="shared" si="51"/>
        <v>41.507572717734654</v>
      </c>
      <c r="DB18" s="11">
        <f>SUM(CU18:DA18)</f>
        <v>6661.529734871875</v>
      </c>
      <c r="DC18" s="11">
        <f>CR18*EXP(DB18/(8.3144*CP18))</f>
        <v>0.5568857327455344</v>
      </c>
      <c r="DE18" s="11">
        <f t="shared" si="52"/>
        <v>-352.57778025897716</v>
      </c>
      <c r="DF18" s="11">
        <f t="shared" si="53"/>
        <v>-1644.6554096820253</v>
      </c>
      <c r="DG18" s="11">
        <f t="shared" si="54"/>
        <v>2822.015409482734</v>
      </c>
      <c r="DH18" s="11">
        <f t="shared" si="55"/>
        <v>1923.4463376150836</v>
      </c>
      <c r="DI18" s="11">
        <f t="shared" si="56"/>
        <v>7041.634528539499</v>
      </c>
      <c r="DJ18" s="11">
        <f t="shared" si="57"/>
        <v>24348.68128712624</v>
      </c>
      <c r="DK18" s="11">
        <f t="shared" si="58"/>
        <v>867.6401432457673</v>
      </c>
      <c r="DL18" s="11">
        <f>SUM(DE18:DK18)</f>
        <v>35006.184516068315</v>
      </c>
      <c r="DM18" s="11">
        <f>CQ18*EXP(DL18/(8.31447*CP18))</f>
        <v>1.018885992813119</v>
      </c>
      <c r="DO18" s="11">
        <f t="shared" si="59"/>
        <v>-586.9361798644713</v>
      </c>
      <c r="DP18" s="11">
        <f t="shared" si="60"/>
        <v>1128.0841821013582</v>
      </c>
      <c r="DQ18" s="11">
        <f t="shared" si="61"/>
        <v>-53.90719684549895</v>
      </c>
      <c r="DR18" s="11">
        <f t="shared" si="62"/>
        <v>-72.73451107370386</v>
      </c>
      <c r="DS18" s="11">
        <f t="shared" si="63"/>
        <v>-101.64158044727148</v>
      </c>
      <c r="DT18" s="11">
        <f t="shared" si="64"/>
        <v>508.1586991416974</v>
      </c>
      <c r="DU18" s="11">
        <f t="shared" si="65"/>
        <v>-14.818918964208745</v>
      </c>
      <c r="DV18" s="11">
        <f>SUM(DO18:DU18)</f>
        <v>806.2044940479013</v>
      </c>
      <c r="DW18" s="11">
        <f>CS18*EXP(DV18/(8.3144*CP18))</f>
        <v>0.7447642315075108</v>
      </c>
      <c r="DY18" s="11">
        <f t="shared" si="66"/>
        <v>1.088470698668371</v>
      </c>
      <c r="DZ18" s="11">
        <f t="shared" si="67"/>
        <v>0</v>
      </c>
      <c r="EA18" s="11">
        <f>2*H404/101.961278</f>
        <v>0</v>
      </c>
      <c r="EB18" s="11">
        <f t="shared" si="68"/>
        <v>0.0006959290931765544</v>
      </c>
      <c r="EC18" s="11">
        <f t="shared" si="69"/>
        <v>0</v>
      </c>
      <c r="ED18" s="11">
        <f t="shared" si="70"/>
        <v>0</v>
      </c>
      <c r="EE18" s="11">
        <f t="shared" si="71"/>
        <v>0.010521172522263872</v>
      </c>
      <c r="EF18" s="11">
        <f t="shared" si="72"/>
        <v>0.1010020565696707</v>
      </c>
      <c r="EG18" s="11">
        <f t="shared" si="73"/>
        <v>0.2441717270372415</v>
      </c>
      <c r="EH18" s="11">
        <f t="shared" si="74"/>
        <v>0</v>
      </c>
      <c r="EI18" s="11">
        <f>SUM(DY18:EH18)</f>
        <v>1.4448615838907235</v>
      </c>
      <c r="EJ18" s="11"/>
      <c r="EK18" s="11">
        <f>DY18/$EI18</f>
        <v>0.7533390816145425</v>
      </c>
      <c r="EL18" s="11">
        <f t="shared" si="75"/>
        <v>0</v>
      </c>
      <c r="EM18" s="11">
        <f t="shared" si="76"/>
        <v>0</v>
      </c>
      <c r="EN18" s="11">
        <f t="shared" si="77"/>
        <v>0.00048165796705768624</v>
      </c>
      <c r="EO18" s="11">
        <f t="shared" si="78"/>
        <v>0</v>
      </c>
      <c r="EP18" s="11">
        <f t="shared" si="79"/>
        <v>0</v>
      </c>
      <c r="EQ18" s="11">
        <f t="shared" si="80"/>
        <v>0.007281785770739683</v>
      </c>
      <c r="ER18" s="11">
        <f t="shared" si="81"/>
        <v>0.06990431311606497</v>
      </c>
      <c r="ES18" s="11">
        <f t="shared" si="82"/>
        <v>0.1689931615315952</v>
      </c>
      <c r="ET18" s="11">
        <f t="shared" si="83"/>
        <v>0</v>
      </c>
      <c r="EU18" s="9">
        <f>SUM(EK18:ET18)</f>
        <v>1</v>
      </c>
      <c r="EV18" s="9">
        <f>EQ18/(EQ18+ER18+ES18)</f>
        <v>0.029579200775742644</v>
      </c>
      <c r="EW18" s="9">
        <f>ER18/(EQ18+ER18+ES18)</f>
        <v>0.28395695477050925</v>
      </c>
      <c r="EX18" s="9">
        <f>ES18/(EQ18+ER18+ES18)</f>
        <v>0.6864638444537482</v>
      </c>
      <c r="EZ18" s="11">
        <f t="shared" si="84"/>
        <v>0.961981748976022</v>
      </c>
      <c r="FA18" s="11">
        <f t="shared" si="85"/>
        <v>0</v>
      </c>
      <c r="FB18" s="11">
        <f t="shared" si="86"/>
        <v>0.52372823337895</v>
      </c>
      <c r="FC18" s="11">
        <f t="shared" si="87"/>
        <v>0.001113486549082487</v>
      </c>
      <c r="FD18" s="11">
        <f t="shared" si="88"/>
        <v>0</v>
      </c>
      <c r="FE18" s="11">
        <f t="shared" si="89"/>
        <v>0</v>
      </c>
      <c r="FF18" s="11">
        <f t="shared" si="90"/>
        <v>0.14372991615160477</v>
      </c>
      <c r="FG18" s="11">
        <f t="shared" si="91"/>
        <v>0.1961956881608939</v>
      </c>
      <c r="FH18" s="11">
        <f t="shared" si="92"/>
        <v>0.02399252622192025</v>
      </c>
      <c r="FI18" s="11">
        <f>2*'Plag P-T Results'!AA36/151.9904</f>
        <v>0</v>
      </c>
      <c r="FJ18" s="11">
        <f>SUM(EZ18:FI18)</f>
        <v>1.8507415994384735</v>
      </c>
      <c r="FK18" s="34" t="e">
        <f>(EP18*FO18)/(EN18*FQ18)</f>
        <v>#DIV/0!</v>
      </c>
      <c r="FL18" s="11">
        <f>EZ18/$FJ18</f>
        <v>0.5197817724894135</v>
      </c>
      <c r="FM18" s="11">
        <f t="shared" si="93"/>
        <v>0</v>
      </c>
      <c r="FN18" s="11">
        <f t="shared" si="94"/>
        <v>0.2829829045491021</v>
      </c>
      <c r="FO18" s="11">
        <f t="shared" si="95"/>
        <v>0.0006016434435905725</v>
      </c>
      <c r="FP18" s="11">
        <f t="shared" si="96"/>
        <v>0</v>
      </c>
      <c r="FQ18" s="11">
        <f t="shared" si="97"/>
        <v>0</v>
      </c>
      <c r="FR18" s="11">
        <f t="shared" si="98"/>
        <v>0.07766071513992732</v>
      </c>
      <c r="FS18" s="11">
        <f t="shared" si="99"/>
        <v>0.10600922798753801</v>
      </c>
      <c r="FT18" s="11">
        <f t="shared" si="100"/>
        <v>0.012963736390428427</v>
      </c>
      <c r="FU18" s="11">
        <f t="shared" si="101"/>
        <v>0</v>
      </c>
      <c r="FV18" s="11">
        <f>SUM(FL18:FU18)</f>
        <v>0.9999999999999999</v>
      </c>
      <c r="FX18" s="11">
        <f>FR18/(FR18+FS18+FT18)</f>
        <v>0.3949512379076453</v>
      </c>
      <c r="FY18" s="11">
        <f>FS18/(FR18+FS18+FT18)</f>
        <v>0.5391204001646683</v>
      </c>
      <c r="FZ18" s="11">
        <f>FT18/(FR18+FS18+FT18)</f>
        <v>0.06592836192768657</v>
      </c>
      <c r="GA18" s="11">
        <f>SUM(FX18:FZ18)</f>
        <v>1.0000000000000002</v>
      </c>
      <c r="GC18" s="11">
        <f>CR18/BH18</f>
        <v>0.526704154923052</v>
      </c>
      <c r="GD18" s="11">
        <f>-273.15+1/((LN(GC18)-0.8)/(-1400))</f>
        <v>698.3191555720201</v>
      </c>
      <c r="GE18" s="11">
        <f>1/((LN(GC18)-LN(2.55))/-1600)-273.15</f>
        <v>741.2998084256546</v>
      </c>
      <c r="GF18" s="11">
        <f>1/((LN(GC18)-LN(2.97))/(-1850))-273.15</f>
        <v>796.413102600175</v>
      </c>
      <c r="GG18" s="11">
        <f>1/((LN(GC18)-LN(5.42))/-2500)-273.15</f>
        <v>799.2535029299123</v>
      </c>
      <c r="GI18" s="11">
        <f>6326.7-9963.2*CR18+943.3*CR18^2+2690.2*CR18^3</f>
        <v>3635.234334691619</v>
      </c>
      <c r="GJ18" s="11">
        <f t="shared" si="102"/>
        <v>371.9344983785407</v>
      </c>
      <c r="GK18" s="11">
        <f>-1.9872*LN(GC18)+4.6321-10.815*CR18+7.7345*CR18^2-1.5512*CR18^3</f>
        <v>3.4232604094531167</v>
      </c>
      <c r="GL18" s="11">
        <f>-273.15+(GI18+GJ18)/GK18</f>
        <v>897.4208458534494</v>
      </c>
      <c r="GN18" s="11">
        <f t="shared" si="0"/>
        <v>900</v>
      </c>
    </row>
    <row r="19" spans="1:196" ht="12.75">
      <c r="A19" s="11" t="s">
        <v>79</v>
      </c>
      <c r="B19" s="11" t="s">
        <v>83</v>
      </c>
      <c r="C19" s="50">
        <v>15</v>
      </c>
      <c r="D19" s="9">
        <v>950</v>
      </c>
      <c r="E19" s="11"/>
      <c r="F19" s="49">
        <v>64.6</v>
      </c>
      <c r="G19" s="49"/>
      <c r="H19" s="49">
        <v>18.8</v>
      </c>
      <c r="I19" s="49">
        <v>0.09</v>
      </c>
      <c r="J19" s="49"/>
      <c r="K19" s="49">
        <v>0</v>
      </c>
      <c r="L19" s="49">
        <v>0.39</v>
      </c>
      <c r="M19" s="49">
        <v>1.15</v>
      </c>
      <c r="N19" s="49">
        <v>14.8</v>
      </c>
      <c r="O19" s="49"/>
      <c r="P19" s="11">
        <f t="shared" si="1"/>
        <v>99.83</v>
      </c>
      <c r="Q19" s="11"/>
      <c r="R19" s="49">
        <v>46.2</v>
      </c>
      <c r="S19" s="49"/>
      <c r="T19" s="49">
        <v>33.5</v>
      </c>
      <c r="U19" s="49">
        <v>0.31</v>
      </c>
      <c r="V19" s="49"/>
      <c r="W19" s="49">
        <v>0</v>
      </c>
      <c r="X19" s="49">
        <v>17.4</v>
      </c>
      <c r="Y19" s="49">
        <v>1.22</v>
      </c>
      <c r="Z19" s="49">
        <v>0.3</v>
      </c>
      <c r="AA19" s="49"/>
      <c r="AB19" s="11">
        <f t="shared" si="2"/>
        <v>98.92999999999999</v>
      </c>
      <c r="AD19" s="54">
        <f t="shared" si="103"/>
        <v>1034.4837003002265</v>
      </c>
      <c r="AE19" s="54">
        <f t="shared" si="104"/>
        <v>964.3231541635843</v>
      </c>
      <c r="AF19" s="54">
        <f t="shared" si="3"/>
        <v>967.5522351706031</v>
      </c>
      <c r="AH19" s="60">
        <f t="shared" si="4"/>
        <v>0.019410063562510998</v>
      </c>
      <c r="AI19" s="60">
        <f t="shared" si="5"/>
        <v>0.1035699913028357</v>
      </c>
      <c r="AJ19" s="60">
        <f t="shared" si="6"/>
        <v>0.8770199451346533</v>
      </c>
      <c r="AK19" s="60"/>
      <c r="AL19" s="60">
        <f t="shared" si="105"/>
        <v>0.8715311438852416</v>
      </c>
      <c r="AM19" s="60">
        <f t="shared" si="106"/>
        <v>0.11057762104946169</v>
      </c>
      <c r="AN19" s="60">
        <f t="shared" si="107"/>
        <v>0.01789123506529681</v>
      </c>
      <c r="AO19" s="57"/>
      <c r="AP19" s="61">
        <f t="shared" si="7"/>
        <v>0.8428410397737118</v>
      </c>
      <c r="AQ19" s="61">
        <f t="shared" si="8"/>
        <v>0.28342085951734314</v>
      </c>
      <c r="AR19" s="61">
        <f t="shared" si="9"/>
        <v>0.8866002750351973</v>
      </c>
      <c r="AS19" s="62"/>
      <c r="AT19" s="61">
        <f t="shared" si="10"/>
        <v>0.9247462379570517</v>
      </c>
      <c r="AU19" s="61">
        <f t="shared" si="11"/>
        <v>0.589690543427283</v>
      </c>
      <c r="AV19" s="61">
        <f t="shared" si="12"/>
        <v>0.9899514976504672</v>
      </c>
      <c r="AX19" s="63">
        <f t="shared" si="113"/>
        <v>0.08190519818333986</v>
      </c>
      <c r="AY19" s="63">
        <f t="shared" si="108"/>
        <v>0.30626968390993986</v>
      </c>
      <c r="AZ19" s="63">
        <f t="shared" si="109"/>
        <v>0.10335122261526986</v>
      </c>
      <c r="BB19" s="11">
        <f t="shared" si="13"/>
        <v>1223.15</v>
      </c>
      <c r="BD19" s="9">
        <f t="shared" si="14"/>
        <v>967.5522351706032</v>
      </c>
      <c r="BF19" s="29">
        <f t="shared" si="15"/>
        <v>1240.7022351706032</v>
      </c>
      <c r="BG19" s="11">
        <f t="shared" si="110"/>
        <v>0.8715311438852416</v>
      </c>
      <c r="BH19" s="11">
        <f t="shared" si="111"/>
        <v>0.11057762104946169</v>
      </c>
      <c r="BI19" s="11">
        <f t="shared" si="112"/>
        <v>0.01789123506529681</v>
      </c>
      <c r="BJ19" s="11">
        <f>SUM(BG19:BI19)</f>
        <v>1</v>
      </c>
      <c r="BK19" s="11">
        <f t="shared" si="16"/>
        <v>210.22953331960366</v>
      </c>
      <c r="BL19" s="11">
        <f t="shared" si="17"/>
        <v>72.23949367152676</v>
      </c>
      <c r="BM19" s="11">
        <f t="shared" si="18"/>
        <v>15809.116376912865</v>
      </c>
      <c r="BN19" s="11">
        <f t="shared" si="19"/>
        <v>1983.449753262446</v>
      </c>
      <c r="BO19" s="11">
        <f t="shared" si="20"/>
        <v>-1058.395093538336</v>
      </c>
      <c r="BP19" s="11">
        <f t="shared" si="21"/>
        <v>238.51304330541396</v>
      </c>
      <c r="BQ19" s="11">
        <f t="shared" si="22"/>
        <v>12.08362432538287</v>
      </c>
      <c r="BR19" s="11">
        <f>SUM(BK19:BQ19)</f>
        <v>17267.2367312589</v>
      </c>
      <c r="BS19" s="11">
        <f t="shared" si="23"/>
        <v>0.589690543427283</v>
      </c>
      <c r="BU19" s="11">
        <f t="shared" si="24"/>
        <v>-25.70069393447025</v>
      </c>
      <c r="BV19" s="11">
        <f t="shared" si="25"/>
        <v>-9.208577105898975</v>
      </c>
      <c r="BW19" s="11">
        <f t="shared" si="26"/>
        <v>635.5460340926816</v>
      </c>
      <c r="BX19" s="11">
        <f t="shared" si="27"/>
        <v>-109.73900400297615</v>
      </c>
      <c r="BY19" s="11">
        <f t="shared" si="28"/>
        <v>164.0392095243501</v>
      </c>
      <c r="BZ19" s="11">
        <f t="shared" si="29"/>
        <v>-42.08098034552832</v>
      </c>
      <c r="CA19" s="11">
        <f t="shared" si="30"/>
        <v>-1.462702033683669</v>
      </c>
      <c r="CB19" s="11">
        <f>SUM(BU19:CA19)</f>
        <v>611.3932861944743</v>
      </c>
      <c r="CC19" s="11">
        <f t="shared" si="31"/>
        <v>0.9247462379570517</v>
      </c>
      <c r="CE19" s="11">
        <f t="shared" si="32"/>
        <v>1276.7919495438905</v>
      </c>
      <c r="CF19" s="11">
        <f t="shared" si="33"/>
        <v>575.3542377690093</v>
      </c>
      <c r="CG19" s="11">
        <f t="shared" si="34"/>
        <v>-3214.438484121136</v>
      </c>
      <c r="CH19" s="11">
        <f t="shared" si="35"/>
        <v>281.015009456619</v>
      </c>
      <c r="CI19" s="11">
        <f t="shared" si="36"/>
        <v>39054.82935622653</v>
      </c>
      <c r="CJ19" s="11">
        <f t="shared" si="37"/>
        <v>3334.4309164030396</v>
      </c>
      <c r="CK19" s="11">
        <f t="shared" si="38"/>
        <v>92.45880096475426</v>
      </c>
      <c r="CL19" s="11">
        <f>SUM(CE19:CK19)</f>
        <v>41400.441786242714</v>
      </c>
      <c r="CM19" s="11">
        <f t="shared" si="39"/>
        <v>0.9899514976504672</v>
      </c>
      <c r="CO19" s="11">
        <f t="shared" si="40"/>
        <v>15</v>
      </c>
      <c r="CP19" s="9">
        <f t="shared" si="41"/>
        <v>1240.7022351706032</v>
      </c>
      <c r="CQ19" s="11">
        <f t="shared" si="42"/>
        <v>0.019410063562510998</v>
      </c>
      <c r="CR19" s="11">
        <f t="shared" si="43"/>
        <v>0.1035699913028357</v>
      </c>
      <c r="CS19" s="11">
        <f t="shared" si="44"/>
        <v>0.8770199451346533</v>
      </c>
      <c r="CT19" s="11">
        <f>SUM(CQ19:CS19)</f>
        <v>1</v>
      </c>
      <c r="CU19" s="11">
        <f t="shared" si="45"/>
        <v>3717.372810202877</v>
      </c>
      <c r="CV19" s="11">
        <f t="shared" si="46"/>
        <v>7046.135136161954</v>
      </c>
      <c r="CW19" s="11">
        <f t="shared" si="47"/>
        <v>186.40991470785326</v>
      </c>
      <c r="CX19" s="11">
        <f t="shared" si="48"/>
        <v>115.68218045366758</v>
      </c>
      <c r="CY19" s="11">
        <f t="shared" si="49"/>
        <v>305.2582243278937</v>
      </c>
      <c r="CZ19" s="11">
        <f t="shared" si="50"/>
        <v>-999.6294657548683</v>
      </c>
      <c r="DA19" s="11">
        <f t="shared" si="51"/>
        <v>13.429381957215542</v>
      </c>
      <c r="DB19" s="11">
        <f>SUM(CU19:DA19)</f>
        <v>10384.658182056595</v>
      </c>
      <c r="DC19" s="11">
        <f>CR19*EXP(DB19/(8.3144*CP19))</f>
        <v>0.28342085951734314</v>
      </c>
      <c r="DE19" s="11">
        <f t="shared" si="52"/>
        <v>544.419407202538</v>
      </c>
      <c r="DF19" s="11">
        <f t="shared" si="53"/>
        <v>-1321.8474288218802</v>
      </c>
      <c r="DG19" s="11">
        <f t="shared" si="54"/>
        <v>1259.0007388517463</v>
      </c>
      <c r="DH19" s="11">
        <f t="shared" si="55"/>
        <v>603.0011807190451</v>
      </c>
      <c r="DI19" s="11">
        <f t="shared" si="56"/>
        <v>3863.0449901860734</v>
      </c>
      <c r="DJ19" s="11">
        <f t="shared" si="57"/>
        <v>33866.18576602119</v>
      </c>
      <c r="DK19" s="11">
        <f t="shared" si="58"/>
        <v>86.87026749052471</v>
      </c>
      <c r="DL19" s="11">
        <f>SUM(DE19:DK19)</f>
        <v>38900.67492164923</v>
      </c>
      <c r="DM19" s="11">
        <f>CQ19*EXP(DL19/(8.31447*CP19))</f>
        <v>0.8428410397737118</v>
      </c>
      <c r="DO19" s="11">
        <f t="shared" si="59"/>
        <v>-193.898636301166</v>
      </c>
      <c r="DP19" s="11">
        <f t="shared" si="60"/>
        <v>246.64656182268803</v>
      </c>
      <c r="DQ19" s="11">
        <f t="shared" si="61"/>
        <v>-22.112768594274158</v>
      </c>
      <c r="DR19" s="11">
        <f t="shared" si="62"/>
        <v>-13.12226664904822</v>
      </c>
      <c r="DS19" s="11">
        <f t="shared" si="63"/>
        <v>-52.250754945361365</v>
      </c>
      <c r="DT19" s="11">
        <f t="shared" si="64"/>
        <v>148.32097548339274</v>
      </c>
      <c r="DU19" s="11">
        <f t="shared" si="65"/>
        <v>-1.5082672452497505</v>
      </c>
      <c r="DV19" s="11">
        <f>SUM(DO19:DU19)</f>
        <v>112.07484357098127</v>
      </c>
      <c r="DW19" s="11">
        <f>CS19*EXP(DV19/(8.3144*CP19))</f>
        <v>0.8866002750351973</v>
      </c>
      <c r="DY19" s="11">
        <f t="shared" si="66"/>
        <v>1.0751560723849658</v>
      </c>
      <c r="DZ19" s="11">
        <f t="shared" si="67"/>
        <v>0</v>
      </c>
      <c r="EA19" s="11">
        <f>2*H405/101.961278</f>
        <v>0</v>
      </c>
      <c r="EB19" s="11">
        <f t="shared" si="68"/>
        <v>0.0012526723677177979</v>
      </c>
      <c r="EC19" s="11">
        <f t="shared" si="69"/>
        <v>0</v>
      </c>
      <c r="ED19" s="11">
        <f t="shared" si="70"/>
        <v>0</v>
      </c>
      <c r="EE19" s="11">
        <f t="shared" si="71"/>
        <v>0.006954673362174424</v>
      </c>
      <c r="EF19" s="11">
        <f t="shared" si="72"/>
        <v>0.03710938180674802</v>
      </c>
      <c r="EG19" s="11">
        <f t="shared" si="73"/>
        <v>0.3142383965348847</v>
      </c>
      <c r="EH19" s="11">
        <f t="shared" si="74"/>
        <v>0</v>
      </c>
      <c r="EI19" s="11">
        <f>SUM(DY19:EH19)</f>
        <v>1.4347111964564907</v>
      </c>
      <c r="EJ19" s="11"/>
      <c r="EK19" s="11">
        <f>DY19/$EI19</f>
        <v>0.7493885006546481</v>
      </c>
      <c r="EL19" s="11">
        <f t="shared" si="75"/>
        <v>0</v>
      </c>
      <c r="EM19" s="11">
        <f t="shared" si="76"/>
        <v>0</v>
      </c>
      <c r="EN19" s="11">
        <f t="shared" si="77"/>
        <v>0.0008731181375120652</v>
      </c>
      <c r="EO19" s="11">
        <f t="shared" si="78"/>
        <v>0</v>
      </c>
      <c r="EP19" s="11">
        <f t="shared" si="79"/>
        <v>0</v>
      </c>
      <c r="EQ19" s="11">
        <f t="shared" si="80"/>
        <v>0.004847437853242775</v>
      </c>
      <c r="ER19" s="11">
        <f t="shared" si="81"/>
        <v>0.02586540196968025</v>
      </c>
      <c r="ES19" s="11">
        <f t="shared" si="82"/>
        <v>0.2190255413849169</v>
      </c>
      <c r="ET19" s="11">
        <f t="shared" si="83"/>
        <v>0</v>
      </c>
      <c r="EU19" s="9">
        <f>SUM(EK19:ET19)</f>
        <v>1.0000000000000002</v>
      </c>
      <c r="EV19" s="9">
        <f>EQ19/(EQ19+ER19+ES19)</f>
        <v>0.019410063562510998</v>
      </c>
      <c r="EW19" s="9">
        <f>ER19/(EQ19+ER19+ES19)</f>
        <v>0.1035699913028357</v>
      </c>
      <c r="EX19" s="9">
        <f>ES19/(EQ19+ER19+ES19)</f>
        <v>0.8770199451346533</v>
      </c>
      <c r="EZ19" s="11">
        <f t="shared" si="84"/>
        <v>0.7689196678666474</v>
      </c>
      <c r="FA19" s="11">
        <f t="shared" si="85"/>
        <v>0</v>
      </c>
      <c r="FB19" s="11">
        <f t="shared" si="86"/>
        <v>0.6571122029286451</v>
      </c>
      <c r="FC19" s="11">
        <f t="shared" si="87"/>
        <v>0.004314760377694638</v>
      </c>
      <c r="FD19" s="11">
        <f t="shared" si="88"/>
        <v>0</v>
      </c>
      <c r="FE19" s="11">
        <f t="shared" si="89"/>
        <v>0</v>
      </c>
      <c r="FF19" s="11">
        <f t="shared" si="90"/>
        <v>0.31028542692778194</v>
      </c>
      <c r="FG19" s="11">
        <f t="shared" si="91"/>
        <v>0.039368213742810944</v>
      </c>
      <c r="FH19" s="11">
        <f t="shared" si="92"/>
        <v>0.006369697227058474</v>
      </c>
      <c r="FI19" s="11">
        <f>2*'Plag P-T Results'!AA37/151.9904</f>
        <v>0</v>
      </c>
      <c r="FJ19" s="11">
        <f>SUM(EZ19:FI19)</f>
        <v>1.7863699690706385</v>
      </c>
      <c r="FK19" s="34" t="e">
        <f>(EP19*FO19)/(EN19*FQ19)</f>
        <v>#DIV/0!</v>
      </c>
      <c r="FL19" s="11">
        <f>EZ19/$FJ19</f>
        <v>0.43043696500713063</v>
      </c>
      <c r="FM19" s="11">
        <f t="shared" si="93"/>
        <v>0</v>
      </c>
      <c r="FN19" s="11">
        <f t="shared" si="94"/>
        <v>0.36784776631153776</v>
      </c>
      <c r="FO19" s="11">
        <f t="shared" si="95"/>
        <v>0.002415378926202727</v>
      </c>
      <c r="FP19" s="11">
        <f t="shared" si="96"/>
        <v>0</v>
      </c>
      <c r="FQ19" s="11">
        <f t="shared" si="97"/>
        <v>0</v>
      </c>
      <c r="FR19" s="11">
        <f t="shared" si="98"/>
        <v>0.17369606089449005</v>
      </c>
      <c r="FS19" s="11">
        <f t="shared" si="99"/>
        <v>0.02203810768454214</v>
      </c>
      <c r="FT19" s="11">
        <f t="shared" si="100"/>
        <v>0.0035657211760967513</v>
      </c>
      <c r="FU19" s="11">
        <f t="shared" si="101"/>
        <v>0</v>
      </c>
      <c r="FV19" s="11">
        <f>SUM(FL19:FU19)</f>
        <v>1</v>
      </c>
      <c r="FX19" s="11">
        <f>FR19/(FR19+FS19+FT19)</f>
        <v>0.8715311438852416</v>
      </c>
      <c r="FY19" s="11">
        <f>FS19/(FR19+FS19+FT19)</f>
        <v>0.11057762104946169</v>
      </c>
      <c r="FZ19" s="11">
        <f>FT19/(FR19+FS19+FT19)</f>
        <v>0.01789123506529681</v>
      </c>
      <c r="GA19" s="11">
        <f>SUM(FX19:FZ19)</f>
        <v>1</v>
      </c>
      <c r="GC19" s="11">
        <f>CR19/BH19</f>
        <v>0.9366270527425125</v>
      </c>
      <c r="GD19" s="11">
        <f>-273.15+1/((LN(GC19)-0.8)/(-1400))</f>
        <v>1344.467988378256</v>
      </c>
      <c r="GE19" s="11">
        <f>1/((LN(GC19)-LN(2.55))/-1600)-273.15</f>
        <v>1324.3523724028591</v>
      </c>
      <c r="GF19" s="11">
        <f>1/((LN(GC19)-LN(2.97))/(-1850))-273.15</f>
        <v>1329.9250598582153</v>
      </c>
      <c r="GG19" s="11">
        <f>1/((LN(GC19)-LN(5.42))/-2500)-273.15</f>
        <v>1150.8922304289222</v>
      </c>
      <c r="GI19" s="11">
        <f>6326.7-9963.2*CR19+943.3*CR19^2+2690.2*CR19^3</f>
        <v>5307.918727384641</v>
      </c>
      <c r="GJ19" s="11">
        <f t="shared" si="102"/>
        <v>1163.9143847754015</v>
      </c>
      <c r="GK19" s="11">
        <f>-1.9872*LN(GC19)+4.6321-10.815*CR19+7.7345*CR19^2-1.5512*CR19^3</f>
        <v>3.723335383986086</v>
      </c>
      <c r="GL19" s="11">
        <f>-273.15+(GI19+GJ19)/GK19</f>
        <v>1465.0316153320846</v>
      </c>
      <c r="GN19" s="11">
        <f t="shared" si="0"/>
        <v>950</v>
      </c>
    </row>
    <row r="20" spans="1:196" ht="12.75">
      <c r="A20" s="11" t="s">
        <v>79</v>
      </c>
      <c r="B20" s="11" t="s">
        <v>84</v>
      </c>
      <c r="C20" s="50">
        <v>15</v>
      </c>
      <c r="D20" s="9">
        <v>950</v>
      </c>
      <c r="E20" s="11"/>
      <c r="F20" s="49">
        <v>61.8</v>
      </c>
      <c r="G20" s="49"/>
      <c r="H20" s="49">
        <v>19.2</v>
      </c>
      <c r="I20" s="49">
        <v>0.51</v>
      </c>
      <c r="J20" s="49"/>
      <c r="K20" s="49">
        <v>0.03</v>
      </c>
      <c r="L20" s="49">
        <v>0.66</v>
      </c>
      <c r="M20" s="49">
        <v>1.71</v>
      </c>
      <c r="N20" s="49">
        <v>12.9</v>
      </c>
      <c r="O20" s="49"/>
      <c r="P20" s="11">
        <f t="shared" si="1"/>
        <v>96.81</v>
      </c>
      <c r="Q20" s="11"/>
      <c r="R20" s="49">
        <v>50.3</v>
      </c>
      <c r="S20" s="49"/>
      <c r="T20" s="49">
        <v>31.1</v>
      </c>
      <c r="U20" s="49">
        <v>0.54</v>
      </c>
      <c r="V20" s="49"/>
      <c r="W20" s="49">
        <v>0.06</v>
      </c>
      <c r="X20" s="49">
        <v>14.5</v>
      </c>
      <c r="Y20" s="49">
        <v>2.76</v>
      </c>
      <c r="Z20" s="49">
        <v>0.79</v>
      </c>
      <c r="AA20" s="49"/>
      <c r="AB20" s="11">
        <f t="shared" si="2"/>
        <v>100.05000000000003</v>
      </c>
      <c r="AD20" s="54">
        <f t="shared" si="103"/>
        <v>1015.3542060055568</v>
      </c>
      <c r="AE20" s="54">
        <f t="shared" si="104"/>
        <v>988.1201491584949</v>
      </c>
      <c r="AF20" s="54">
        <f t="shared" si="3"/>
        <v>1044.2683422078526</v>
      </c>
      <c r="AH20" s="60">
        <f t="shared" si="4"/>
        <v>0.034530055103792694</v>
      </c>
      <c r="AI20" s="60">
        <f t="shared" si="5"/>
        <v>0.1618911824383415</v>
      </c>
      <c r="AJ20" s="60">
        <f t="shared" si="6"/>
        <v>0.8035787624578657</v>
      </c>
      <c r="AK20" s="60"/>
      <c r="AL20" s="60">
        <f t="shared" si="105"/>
        <v>0.7095665499418469</v>
      </c>
      <c r="AM20" s="60">
        <f t="shared" si="106"/>
        <v>0.24440380486392127</v>
      </c>
      <c r="AN20" s="60">
        <f t="shared" si="107"/>
        <v>0.04602964519423191</v>
      </c>
      <c r="AO20" s="57"/>
      <c r="AP20" s="61">
        <f t="shared" si="7"/>
        <v>0.8648326422484746</v>
      </c>
      <c r="AQ20" s="61">
        <f t="shared" si="8"/>
        <v>0.36732439741227446</v>
      </c>
      <c r="AR20" s="61">
        <f t="shared" si="9"/>
        <v>0.827718816519308</v>
      </c>
      <c r="AS20" s="62"/>
      <c r="AT20" s="61">
        <f t="shared" si="10"/>
        <v>0.9085237729732157</v>
      </c>
      <c r="AU20" s="61">
        <f t="shared" si="11"/>
        <v>0.5589497071900893</v>
      </c>
      <c r="AV20" s="61">
        <f t="shared" si="12"/>
        <v>0.7995819371185711</v>
      </c>
      <c r="AX20" s="63">
        <f t="shared" si="113"/>
        <v>0.04369113072474118</v>
      </c>
      <c r="AY20" s="63">
        <f t="shared" si="108"/>
        <v>0.19162530977781483</v>
      </c>
      <c r="AZ20" s="63">
        <f t="shared" si="109"/>
        <v>-0.028136879400736947</v>
      </c>
      <c r="BB20" s="11">
        <f t="shared" si="13"/>
        <v>1223.15</v>
      </c>
      <c r="BD20" s="9">
        <f t="shared" si="14"/>
        <v>1044.2683422078526</v>
      </c>
      <c r="BF20" s="29">
        <f t="shared" si="15"/>
        <v>1317.4183422078527</v>
      </c>
      <c r="BG20" s="11">
        <f t="shared" si="110"/>
        <v>0.7095665499418469</v>
      </c>
      <c r="BH20" s="11">
        <f t="shared" si="111"/>
        <v>0.24440380486392127</v>
      </c>
      <c r="BI20" s="11">
        <f t="shared" si="112"/>
        <v>0.04602964519423191</v>
      </c>
      <c r="BJ20" s="11">
        <f>SUM(BG20:BI20)</f>
        <v>1</v>
      </c>
      <c r="BK20" s="11">
        <f t="shared" si="16"/>
        <v>543.3559810044673</v>
      </c>
      <c r="BL20" s="11">
        <f t="shared" si="17"/>
        <v>100.1784732264111</v>
      </c>
      <c r="BM20" s="11">
        <f t="shared" si="18"/>
        <v>6937.196419759127</v>
      </c>
      <c r="BN20" s="11">
        <f t="shared" si="19"/>
        <v>3056.995123962408</v>
      </c>
      <c r="BO20" s="11">
        <f t="shared" si="20"/>
        <v>-1819.598530308711</v>
      </c>
      <c r="BP20" s="11">
        <f t="shared" si="21"/>
        <v>226.44372964812888</v>
      </c>
      <c r="BQ20" s="11">
        <f t="shared" si="22"/>
        <v>16.612623486866852</v>
      </c>
      <c r="BR20" s="11">
        <f>SUM(BK20:BQ20)</f>
        <v>9061.183820778697</v>
      </c>
      <c r="BS20" s="11">
        <f t="shared" si="23"/>
        <v>0.5589497071900893</v>
      </c>
      <c r="BU20" s="11">
        <f t="shared" si="24"/>
        <v>-168.40795317329813</v>
      </c>
      <c r="BV20" s="11">
        <f t="shared" si="25"/>
        <v>-36.0433229671215</v>
      </c>
      <c r="BW20" s="11">
        <f t="shared" si="26"/>
        <v>2568.285377546737</v>
      </c>
      <c r="BX20" s="11">
        <f t="shared" si="27"/>
        <v>-309.6757564030548</v>
      </c>
      <c r="BY20" s="11">
        <f t="shared" si="28"/>
        <v>795.50541916656</v>
      </c>
      <c r="BZ20" s="11">
        <f t="shared" si="29"/>
        <v>-137.59757856972013</v>
      </c>
      <c r="CA20" s="11">
        <f t="shared" si="30"/>
        <v>-4.691596246077452</v>
      </c>
      <c r="CB20" s="11">
        <f>SUM(BU20:CA20)</f>
        <v>2707.3745893540245</v>
      </c>
      <c r="CC20" s="11">
        <f t="shared" si="31"/>
        <v>0.9085237729732157</v>
      </c>
      <c r="CE20" s="11">
        <f t="shared" si="32"/>
        <v>2850.0779469300323</v>
      </c>
      <c r="CF20" s="11">
        <f t="shared" si="33"/>
        <v>1064.2488724074956</v>
      </c>
      <c r="CG20" s="11">
        <f t="shared" si="34"/>
        <v>-4369.706343535081</v>
      </c>
      <c r="CH20" s="11">
        <f t="shared" si="35"/>
        <v>-68.29684672630141</v>
      </c>
      <c r="CI20" s="11">
        <f t="shared" si="36"/>
        <v>25657.699877352992</v>
      </c>
      <c r="CJ20" s="11">
        <f t="shared" si="37"/>
        <v>5979.519575508199</v>
      </c>
      <c r="CK20" s="11">
        <f t="shared" si="38"/>
        <v>156.6684932209292</v>
      </c>
      <c r="CL20" s="11">
        <f>SUM(CE20:CK20)</f>
        <v>31270.211575158264</v>
      </c>
      <c r="CM20" s="11">
        <f t="shared" si="39"/>
        <v>0.7995819371185711</v>
      </c>
      <c r="CO20" s="11">
        <f t="shared" si="40"/>
        <v>15</v>
      </c>
      <c r="CP20" s="9">
        <f t="shared" si="41"/>
        <v>1317.4183422078527</v>
      </c>
      <c r="CQ20" s="11">
        <f t="shared" si="42"/>
        <v>0.034530055103792694</v>
      </c>
      <c r="CR20" s="11">
        <f t="shared" si="43"/>
        <v>0.1618911824383415</v>
      </c>
      <c r="CS20" s="11">
        <f t="shared" si="44"/>
        <v>0.8035787624578657</v>
      </c>
      <c r="CT20" s="11">
        <f>SUM(CQ20:CS20)</f>
        <v>1</v>
      </c>
      <c r="CU20" s="11">
        <f t="shared" si="45"/>
        <v>4875.33834053355</v>
      </c>
      <c r="CV20" s="11">
        <f t="shared" si="46"/>
        <v>4737.902818274938</v>
      </c>
      <c r="CW20" s="11">
        <f t="shared" si="47"/>
        <v>265.9738434073319</v>
      </c>
      <c r="CX20" s="11">
        <f t="shared" si="48"/>
        <v>211.98359440442547</v>
      </c>
      <c r="CY20" s="11">
        <f t="shared" si="49"/>
        <v>357.45492492211946</v>
      </c>
      <c r="CZ20" s="11">
        <f t="shared" si="50"/>
        <v>-1492.8555164697423</v>
      </c>
      <c r="DA20" s="11">
        <f t="shared" si="51"/>
        <v>18.66961211893076</v>
      </c>
      <c r="DB20" s="11">
        <f>SUM(CU20:DA20)</f>
        <v>8974.467617191553</v>
      </c>
      <c r="DC20" s="11">
        <f>CR20*EXP(DB20/(8.3144*CP20))</f>
        <v>0.36732439741227446</v>
      </c>
      <c r="DE20" s="11">
        <f t="shared" si="52"/>
        <v>395.1047710279579</v>
      </c>
      <c r="DF20" s="11">
        <f t="shared" si="53"/>
        <v>-1577.6461814016625</v>
      </c>
      <c r="DG20" s="11">
        <f t="shared" si="54"/>
        <v>1862.661008804497</v>
      </c>
      <c r="DH20" s="11">
        <f t="shared" si="55"/>
        <v>960.35880941859</v>
      </c>
      <c r="DI20" s="11">
        <f t="shared" si="56"/>
        <v>5464.822581263301</v>
      </c>
      <c r="DJ20" s="11">
        <f t="shared" si="57"/>
        <v>28052.634251777006</v>
      </c>
      <c r="DK20" s="11">
        <f t="shared" si="58"/>
        <v>120.50258572222248</v>
      </c>
      <c r="DL20" s="11">
        <f>SUM(DE20:DK20)</f>
        <v>35278.43782661191</v>
      </c>
      <c r="DM20" s="11">
        <f>CQ20*EXP(DL20/(8.31447*CP20))</f>
        <v>0.8648326422484746</v>
      </c>
      <c r="DO20" s="11">
        <f t="shared" si="59"/>
        <v>-377.4724754299336</v>
      </c>
      <c r="DP20" s="11">
        <f t="shared" si="60"/>
        <v>524.8250313338397</v>
      </c>
      <c r="DQ20" s="11">
        <f t="shared" si="61"/>
        <v>-54.382507619372184</v>
      </c>
      <c r="DR20" s="11">
        <f t="shared" si="62"/>
        <v>-39.64548192274625</v>
      </c>
      <c r="DS20" s="11">
        <f t="shared" si="63"/>
        <v>-115.91875510067548</v>
      </c>
      <c r="DT20" s="11">
        <f t="shared" si="64"/>
        <v>390.17753432382057</v>
      </c>
      <c r="DU20" s="11">
        <f t="shared" si="65"/>
        <v>-3.377107841075325</v>
      </c>
      <c r="DV20" s="11">
        <f>SUM(DO20:DU20)</f>
        <v>324.2062377438574</v>
      </c>
      <c r="DW20" s="11">
        <f>CS20*EXP(DV20/(8.3144*CP20))</f>
        <v>0.827718816519308</v>
      </c>
      <c r="DY20" s="11">
        <f t="shared" si="66"/>
        <v>1.0285548803930478</v>
      </c>
      <c r="DZ20" s="11">
        <f t="shared" si="67"/>
        <v>0</v>
      </c>
      <c r="EA20" s="11">
        <f>2*H406/101.961278</f>
        <v>0</v>
      </c>
      <c r="EB20" s="11">
        <f t="shared" si="68"/>
        <v>0.0070984767504008554</v>
      </c>
      <c r="EC20" s="11">
        <f t="shared" si="69"/>
        <v>0</v>
      </c>
      <c r="ED20" s="11">
        <f t="shared" si="70"/>
        <v>0.0007443356060380504</v>
      </c>
      <c r="EE20" s="11">
        <f t="shared" si="71"/>
        <v>0.011769447228295178</v>
      </c>
      <c r="EF20" s="11">
        <f t="shared" si="72"/>
        <v>0.05518003729525141</v>
      </c>
      <c r="EG20" s="11">
        <f t="shared" si="73"/>
        <v>0.2738969807635144</v>
      </c>
      <c r="EH20" s="11">
        <f t="shared" si="74"/>
        <v>0</v>
      </c>
      <c r="EI20" s="11">
        <f>SUM(DY20:EH20)</f>
        <v>1.3772441580365475</v>
      </c>
      <c r="EJ20" s="11"/>
      <c r="EK20" s="11">
        <f>DY20/$EI20</f>
        <v>0.7468210152798145</v>
      </c>
      <c r="EL20" s="11">
        <f t="shared" si="75"/>
        <v>0</v>
      </c>
      <c r="EM20" s="11">
        <f t="shared" si="76"/>
        <v>0</v>
      </c>
      <c r="EN20" s="11">
        <f t="shared" si="77"/>
        <v>0.005154116435331785</v>
      </c>
      <c r="EO20" s="11">
        <f t="shared" si="78"/>
        <v>0</v>
      </c>
      <c r="EP20" s="11">
        <f t="shared" si="79"/>
        <v>0.0005404529049512934</v>
      </c>
      <c r="EQ20" s="11">
        <f t="shared" si="80"/>
        <v>0.008545650500397952</v>
      </c>
      <c r="ER20" s="11">
        <f t="shared" si="81"/>
        <v>0.04006554464091407</v>
      </c>
      <c r="ES20" s="11">
        <f t="shared" si="82"/>
        <v>0.19887322023859044</v>
      </c>
      <c r="ET20" s="11">
        <f t="shared" si="83"/>
        <v>0</v>
      </c>
      <c r="EU20" s="9">
        <f>SUM(EK20:ET20)</f>
        <v>1</v>
      </c>
      <c r="EV20" s="9">
        <f>EQ20/(EQ20+ER20+ES20)</f>
        <v>0.034530055103792694</v>
      </c>
      <c r="EW20" s="9">
        <f>ER20/(EQ20+ER20+ES20)</f>
        <v>0.1618911824383415</v>
      </c>
      <c r="EX20" s="9">
        <f>ES20/(EQ20+ER20+ES20)</f>
        <v>0.8035787624578659</v>
      </c>
      <c r="EZ20" s="11">
        <f t="shared" si="84"/>
        <v>0.8371571275690988</v>
      </c>
      <c r="FA20" s="11">
        <f t="shared" si="85"/>
        <v>0</v>
      </c>
      <c r="FB20" s="11">
        <f t="shared" si="86"/>
        <v>0.6100355077934587</v>
      </c>
      <c r="FC20" s="11">
        <f t="shared" si="87"/>
        <v>0.007516034206306788</v>
      </c>
      <c r="FD20" s="11">
        <f t="shared" si="88"/>
        <v>0</v>
      </c>
      <c r="FE20" s="11">
        <f t="shared" si="89"/>
        <v>0.0014886712120761008</v>
      </c>
      <c r="FF20" s="11">
        <f t="shared" si="90"/>
        <v>0.25857118910648497</v>
      </c>
      <c r="FG20" s="11">
        <f t="shared" si="91"/>
        <v>0.08906251633619525</v>
      </c>
      <c r="FH20" s="11">
        <f t="shared" si="92"/>
        <v>0.01677353603125398</v>
      </c>
      <c r="FI20" s="11">
        <f>2*'Plag P-T Results'!AA38/151.9904</f>
        <v>0</v>
      </c>
      <c r="FJ20" s="11">
        <f>SUM(EZ20:FI20)</f>
        <v>1.8206045822548746</v>
      </c>
      <c r="FK20" s="34">
        <f>(EP20*FO20)/(EN20*FQ20)</f>
        <v>0.5294117647058824</v>
      </c>
      <c r="FL20" s="11">
        <f>EZ20/$FJ20</f>
        <v>0.45982369578146065</v>
      </c>
      <c r="FM20" s="11">
        <f t="shared" si="93"/>
        <v>0</v>
      </c>
      <c r="FN20" s="11">
        <f t="shared" si="94"/>
        <v>0.3350730376817524</v>
      </c>
      <c r="FO20" s="11">
        <f t="shared" si="95"/>
        <v>0.0041283177465136055</v>
      </c>
      <c r="FP20" s="11">
        <f t="shared" si="96"/>
        <v>0</v>
      </c>
      <c r="FQ20" s="11">
        <f t="shared" si="97"/>
        <v>0.0008176795920354852</v>
      </c>
      <c r="FR20" s="11">
        <f t="shared" si="98"/>
        <v>0.14202490295077508</v>
      </c>
      <c r="FS20" s="11">
        <f t="shared" si="99"/>
        <v>0.04891919816322147</v>
      </c>
      <c r="FT20" s="11">
        <f t="shared" si="100"/>
        <v>0.009213168084241248</v>
      </c>
      <c r="FU20" s="11">
        <f t="shared" si="101"/>
        <v>0</v>
      </c>
      <c r="FV20" s="11">
        <f>SUM(FL20:FU20)</f>
        <v>0.9999999999999999</v>
      </c>
      <c r="FX20" s="11">
        <f>FR20/(FR20+FS20+FT20)</f>
        <v>0.7095665499418469</v>
      </c>
      <c r="FY20" s="11">
        <f>FS20/(FR20+FS20+FT20)</f>
        <v>0.24440380486392127</v>
      </c>
      <c r="FZ20" s="11">
        <f>FT20/(FR20+FS20+FT20)</f>
        <v>0.04602964519423191</v>
      </c>
      <c r="GA20" s="11">
        <f>SUM(FX20:FZ20)</f>
        <v>1</v>
      </c>
      <c r="GC20" s="11">
        <f>CR20/BH20</f>
        <v>0.6623922345582098</v>
      </c>
      <c r="GD20" s="11">
        <f>-273.15+1/((LN(GC20)-0.8)/(-1400))</f>
        <v>882.063305150892</v>
      </c>
      <c r="GE20" s="11">
        <f>1/((LN(GC20)-LN(2.55))/-1600)-273.15</f>
        <v>913.8017577174338</v>
      </c>
      <c r="GF20" s="11">
        <f>1/((LN(GC20)-LN(2.97))/(-1850))-273.15</f>
        <v>959.8057595491945</v>
      </c>
      <c r="GG20" s="11">
        <f>1/((LN(GC20)-LN(5.42))/-2500)-273.15</f>
        <v>916.1973216796358</v>
      </c>
      <c r="GI20" s="11">
        <f>6326.7-9963.2*CR20+943.3*CR20^2+2690.2*CR20^3</f>
        <v>4749.882917694946</v>
      </c>
      <c r="GJ20" s="11">
        <f t="shared" si="102"/>
        <v>1041.4819998811722</v>
      </c>
      <c r="GK20" s="11">
        <f>-1.9872*LN(GC20)+4.6321-10.815*CR20+7.7345*CR20^2-1.5512*CR20^3</f>
        <v>3.895899299362473</v>
      </c>
      <c r="GL20" s="11">
        <f>-273.15+(GI20+GJ20)/GK20</f>
        <v>1213.378391153185</v>
      </c>
      <c r="GN20" s="11">
        <f t="shared" si="0"/>
        <v>950</v>
      </c>
    </row>
    <row r="21" spans="1:196" ht="12.75">
      <c r="A21" s="11" t="s">
        <v>79</v>
      </c>
      <c r="B21" s="11" t="s">
        <v>85</v>
      </c>
      <c r="C21" s="50">
        <v>1</v>
      </c>
      <c r="D21" s="9">
        <v>890</v>
      </c>
      <c r="E21" s="11"/>
      <c r="F21" s="49">
        <v>65.1</v>
      </c>
      <c r="G21" s="49"/>
      <c r="H21" s="49">
        <v>19.2</v>
      </c>
      <c r="I21" s="49">
        <v>0.05</v>
      </c>
      <c r="J21" s="49"/>
      <c r="K21" s="49">
        <v>0</v>
      </c>
      <c r="L21" s="49">
        <v>0.36</v>
      </c>
      <c r="M21" s="49">
        <v>2.87</v>
      </c>
      <c r="N21" s="49">
        <v>12.6</v>
      </c>
      <c r="O21" s="49"/>
      <c r="P21" s="11">
        <f t="shared" si="1"/>
        <v>100.17999999999999</v>
      </c>
      <c r="Q21" s="11"/>
      <c r="R21" s="49">
        <v>60.6</v>
      </c>
      <c r="S21" s="49"/>
      <c r="T21" s="49">
        <v>24.7</v>
      </c>
      <c r="U21" s="49">
        <v>0.05</v>
      </c>
      <c r="V21" s="49"/>
      <c r="W21" s="49">
        <v>0</v>
      </c>
      <c r="X21" s="49">
        <v>5.49</v>
      </c>
      <c r="Y21" s="49">
        <v>7.32</v>
      </c>
      <c r="Z21" s="49">
        <v>1.52</v>
      </c>
      <c r="AA21" s="49"/>
      <c r="AB21" s="11">
        <f t="shared" si="2"/>
        <v>99.67999999999999</v>
      </c>
      <c r="AD21" s="54">
        <f t="shared" si="103"/>
        <v>893.8487311548615</v>
      </c>
      <c r="AE21" s="54">
        <f t="shared" si="104"/>
        <v>785.0564854192929</v>
      </c>
      <c r="AF21" s="54">
        <f t="shared" si="3"/>
        <v>781.0439443272388</v>
      </c>
      <c r="AH21" s="60">
        <f t="shared" si="4"/>
        <v>0.017513406811399086</v>
      </c>
      <c r="AI21" s="60">
        <f t="shared" si="5"/>
        <v>0.2526526051340277</v>
      </c>
      <c r="AJ21" s="60">
        <f t="shared" si="6"/>
        <v>0.7298339880545732</v>
      </c>
      <c r="AK21" s="60"/>
      <c r="AL21" s="60">
        <f t="shared" si="105"/>
        <v>0.267207951347604</v>
      </c>
      <c r="AM21" s="60">
        <f t="shared" si="106"/>
        <v>0.6447062238865638</v>
      </c>
      <c r="AN21" s="60">
        <f t="shared" si="107"/>
        <v>0.0880858247658322</v>
      </c>
      <c r="AO21" s="57"/>
      <c r="AP21" s="61">
        <f t="shared" si="7"/>
        <v>1.6541581558642109</v>
      </c>
      <c r="AQ21" s="61">
        <f t="shared" si="8"/>
        <v>0.5394015753710034</v>
      </c>
      <c r="AR21" s="61">
        <f t="shared" si="9"/>
        <v>0.7722806026159716</v>
      </c>
      <c r="AS21" s="62"/>
      <c r="AT21" s="61">
        <f t="shared" si="10"/>
        <v>1.0809268720725331</v>
      </c>
      <c r="AU21" s="61">
        <f t="shared" si="11"/>
        <v>0.6404624593032343</v>
      </c>
      <c r="AV21" s="61">
        <f t="shared" si="12"/>
        <v>0.9001607601831265</v>
      </c>
      <c r="AX21" s="63">
        <f t="shared" si="113"/>
        <v>-0.5732312837916778</v>
      </c>
      <c r="AY21" s="63">
        <f t="shared" si="108"/>
        <v>0.1010608839322309</v>
      </c>
      <c r="AZ21" s="63">
        <f t="shared" si="109"/>
        <v>0.12788015756715487</v>
      </c>
      <c r="BB21" s="11">
        <f t="shared" si="13"/>
        <v>1163.15</v>
      </c>
      <c r="BD21" s="9">
        <f t="shared" si="14"/>
        <v>781.0439443272388</v>
      </c>
      <c r="BF21" s="29">
        <f t="shared" si="15"/>
        <v>1054.1939443272388</v>
      </c>
      <c r="BG21" s="11">
        <f t="shared" si="110"/>
        <v>0.267207951347604</v>
      </c>
      <c r="BH21" s="11">
        <f t="shared" si="111"/>
        <v>0.6447062238865638</v>
      </c>
      <c r="BI21" s="11">
        <f t="shared" si="112"/>
        <v>0.0880858247658322</v>
      </c>
      <c r="BJ21" s="11">
        <f aca="true" t="shared" si="114" ref="BJ21:BJ31">SUM(BG21:BI21)</f>
        <v>1</v>
      </c>
      <c r="BK21" s="11">
        <f t="shared" si="16"/>
        <v>614.7976879923987</v>
      </c>
      <c r="BL21" s="11">
        <f t="shared" si="17"/>
        <v>-49.77880359319618</v>
      </c>
      <c r="BM21" s="11">
        <f t="shared" si="18"/>
        <v>-633.6473577061204</v>
      </c>
      <c r="BN21" s="11">
        <f t="shared" si="19"/>
        <v>1373.7176315787917</v>
      </c>
      <c r="BO21" s="11">
        <f t="shared" si="20"/>
        <v>-946.9993890854539</v>
      </c>
      <c r="BP21" s="11">
        <f t="shared" si="21"/>
        <v>-364.6612950916454</v>
      </c>
      <c r="BQ21" s="11">
        <f t="shared" si="22"/>
        <v>-51.314556090634184</v>
      </c>
      <c r="BR21" s="11">
        <f aca="true" t="shared" si="115" ref="BR21:BR31">SUM(BK21:BQ21)</f>
        <v>-57.88608199585961</v>
      </c>
      <c r="BS21" s="11">
        <f t="shared" si="23"/>
        <v>0.6404624593032343</v>
      </c>
      <c r="BU21" s="11">
        <f t="shared" si="24"/>
        <v>-998.4565966314603</v>
      </c>
      <c r="BV21" s="11">
        <f t="shared" si="25"/>
        <v>28.321504790914997</v>
      </c>
      <c r="BW21" s="11">
        <f t="shared" si="26"/>
        <v>6994.513495407088</v>
      </c>
      <c r="BX21" s="11">
        <f t="shared" si="27"/>
        <v>2386.40771114977</v>
      </c>
      <c r="BY21" s="11">
        <f t="shared" si="28"/>
        <v>2826.8960493296318</v>
      </c>
      <c r="BZ21" s="11">
        <f t="shared" si="29"/>
        <v>812.7317267491237</v>
      </c>
      <c r="CA21" s="11">
        <f t="shared" si="30"/>
        <v>199.17461818198063</v>
      </c>
      <c r="CB21" s="11">
        <f aca="true" t="shared" si="116" ref="CB21:CB31">SUM(BU21:CA21)</f>
        <v>12249.588508977049</v>
      </c>
      <c r="CC21" s="11">
        <f t="shared" si="31"/>
        <v>1.0809268720725331</v>
      </c>
      <c r="CE21" s="11">
        <f t="shared" si="32"/>
        <v>6878.498227801916</v>
      </c>
      <c r="CF21" s="11">
        <f t="shared" si="33"/>
        <v>1537.297720239409</v>
      </c>
      <c r="CG21" s="11">
        <f t="shared" si="34"/>
        <v>-555.5509982710661</v>
      </c>
      <c r="CH21" s="11">
        <f t="shared" si="35"/>
        <v>-1744.9423616045021</v>
      </c>
      <c r="CI21" s="11">
        <f t="shared" si="36"/>
        <v>7688.848787966909</v>
      </c>
      <c r="CJ21" s="11">
        <f t="shared" si="37"/>
        <v>5498.885796578545</v>
      </c>
      <c r="CK21" s="11">
        <f t="shared" si="38"/>
        <v>1069.0941199497906</v>
      </c>
      <c r="CL21" s="11">
        <f aca="true" t="shared" si="117" ref="CL21:CL31">SUM(CE21:CK21)</f>
        <v>20372.131292660997</v>
      </c>
      <c r="CM21" s="11">
        <f t="shared" si="39"/>
        <v>0.9001607601831265</v>
      </c>
      <c r="CO21" s="11">
        <f t="shared" si="40"/>
        <v>1</v>
      </c>
      <c r="CP21" s="9">
        <f t="shared" si="41"/>
        <v>1054.1939443272388</v>
      </c>
      <c r="CQ21" s="11">
        <f t="shared" si="42"/>
        <v>0.017513406811399086</v>
      </c>
      <c r="CR21" s="11">
        <f t="shared" si="43"/>
        <v>0.2526526051340277</v>
      </c>
      <c r="CS21" s="11">
        <f t="shared" si="44"/>
        <v>0.7298339880545732</v>
      </c>
      <c r="CT21" s="11">
        <f aca="true" t="shared" si="118" ref="CT21:CT31">SUM(CQ21:CS21)</f>
        <v>1</v>
      </c>
      <c r="CU21" s="11">
        <f t="shared" si="45"/>
        <v>4638.69841273415</v>
      </c>
      <c r="CV21" s="11">
        <f t="shared" si="46"/>
        <v>2348.7714592309726</v>
      </c>
      <c r="CW21" s="11">
        <f t="shared" si="47"/>
        <v>87.22296785993053</v>
      </c>
      <c r="CX21" s="11">
        <f t="shared" si="48"/>
        <v>112.83757719299884</v>
      </c>
      <c r="CY21" s="11">
        <f t="shared" si="49"/>
        <v>160.78044655709604</v>
      </c>
      <c r="CZ21" s="11">
        <f t="shared" si="50"/>
        <v>-748.1810345880644</v>
      </c>
      <c r="DA21" s="11">
        <f t="shared" si="51"/>
        <v>47.63213234062428</v>
      </c>
      <c r="DB21" s="11">
        <f aca="true" t="shared" si="119" ref="DB21:DB31">SUM(CU21:DA21)</f>
        <v>6647.7619613277075</v>
      </c>
      <c r="DC21" s="11">
        <f aca="true" t="shared" si="120" ref="DC21:DC31">CR21*EXP(DB21/(8.3144*CP21))</f>
        <v>0.5394015753710034</v>
      </c>
      <c r="DE21" s="11">
        <f t="shared" si="52"/>
        <v>-70.01313060388566</v>
      </c>
      <c r="DF21" s="11">
        <f t="shared" si="53"/>
        <v>-1587.079053437333</v>
      </c>
      <c r="DG21" s="11">
        <f t="shared" si="54"/>
        <v>2570.9772880037117</v>
      </c>
      <c r="DH21" s="11">
        <f t="shared" si="55"/>
        <v>1737.9949538483131</v>
      </c>
      <c r="DI21" s="11">
        <f t="shared" si="56"/>
        <v>6758.818632601959</v>
      </c>
      <c r="DJ21" s="11">
        <f t="shared" si="57"/>
        <v>29113.130566534554</v>
      </c>
      <c r="DK21" s="11">
        <f t="shared" si="58"/>
        <v>1340.3896888911909</v>
      </c>
      <c r="DL21" s="11">
        <f aca="true" t="shared" si="121" ref="DL21:DL31">SUM(DE21:DK21)</f>
        <v>39864.21894583851</v>
      </c>
      <c r="DM21" s="11">
        <f aca="true" t="shared" si="122" ref="DM21:DM31">CQ21*EXP(DL21/(8.31447*CP21))</f>
        <v>1.6541581558642109</v>
      </c>
      <c r="DO21" s="11">
        <f t="shared" si="59"/>
        <v>-505.162832145358</v>
      </c>
      <c r="DP21" s="11">
        <f t="shared" si="60"/>
        <v>868.6172319322125</v>
      </c>
      <c r="DQ21" s="11">
        <f t="shared" si="61"/>
        <v>-30.851947586930052</v>
      </c>
      <c r="DR21" s="11">
        <f t="shared" si="62"/>
        <v>-37.548065996248035</v>
      </c>
      <c r="DS21" s="11">
        <f t="shared" si="63"/>
        <v>-68.60252444818069</v>
      </c>
      <c r="DT21" s="11">
        <f t="shared" si="64"/>
        <v>284.3622938420092</v>
      </c>
      <c r="DU21" s="11">
        <f t="shared" si="65"/>
        <v>-15.321688639230244</v>
      </c>
      <c r="DV21" s="11">
        <f aca="true" t="shared" si="123" ref="DV21:DV31">SUM(DO21:DU21)</f>
        <v>495.49246695827463</v>
      </c>
      <c r="DW21" s="11">
        <f aca="true" t="shared" si="124" ref="DW21:DW31">CS21*EXP(DV21/(8.3144*CP21))</f>
        <v>0.7722806026159716</v>
      </c>
      <c r="DY21" s="11">
        <f t="shared" si="66"/>
        <v>1.083477713812094</v>
      </c>
      <c r="DZ21" s="11">
        <f t="shared" si="67"/>
        <v>0</v>
      </c>
      <c r="EA21" s="11">
        <f>2*H408/101.961278</f>
        <v>0</v>
      </c>
      <c r="EB21" s="11">
        <f t="shared" si="68"/>
        <v>0.0006959290931765544</v>
      </c>
      <c r="EC21" s="11">
        <f t="shared" si="69"/>
        <v>0</v>
      </c>
      <c r="ED21" s="11">
        <f t="shared" si="70"/>
        <v>0</v>
      </c>
      <c r="EE21" s="11">
        <f t="shared" si="71"/>
        <v>0.006419698488161006</v>
      </c>
      <c r="EF21" s="11">
        <f t="shared" si="72"/>
        <v>0.09261210937857985</v>
      </c>
      <c r="EG21" s="11">
        <f t="shared" si="73"/>
        <v>0.2675272835364559</v>
      </c>
      <c r="EH21" s="11">
        <f t="shared" si="74"/>
        <v>0</v>
      </c>
      <c r="EI21" s="11">
        <f aca="true" t="shared" si="125" ref="EI21:EI31">SUM(DY21:EH21)</f>
        <v>1.4507327343084673</v>
      </c>
      <c r="EJ21" s="11"/>
      <c r="EK21" s="11">
        <f aca="true" t="shared" si="126" ref="EK21:EK31">DY21/$EI21</f>
        <v>0.7468486015300152</v>
      </c>
      <c r="EL21" s="11">
        <f t="shared" si="75"/>
        <v>0</v>
      </c>
      <c r="EM21" s="11">
        <f t="shared" si="76"/>
        <v>0</v>
      </c>
      <c r="EN21" s="11">
        <f t="shared" si="77"/>
        <v>0.00047970868563070555</v>
      </c>
      <c r="EO21" s="11">
        <f t="shared" si="78"/>
        <v>0</v>
      </c>
      <c r="EP21" s="11">
        <f t="shared" si="79"/>
        <v>0</v>
      </c>
      <c r="EQ21" s="11">
        <f t="shared" si="80"/>
        <v>0.004425142092917023</v>
      </c>
      <c r="ER21" s="11">
        <f t="shared" si="81"/>
        <v>0.06383816066763395</v>
      </c>
      <c r="ES21" s="11">
        <f t="shared" si="82"/>
        <v>0.18440838702380305</v>
      </c>
      <c r="ET21" s="11">
        <f t="shared" si="83"/>
        <v>0</v>
      </c>
      <c r="EU21" s="9">
        <f aca="true" t="shared" si="127" ref="EU21:EU31">SUM(EK21:ET21)</f>
        <v>0.9999999999999999</v>
      </c>
      <c r="EV21" s="9">
        <f aca="true" t="shared" si="128" ref="EV21:EV31">EQ21/(EQ21+ER21+ES21)</f>
        <v>0.017513406811399086</v>
      </c>
      <c r="EW21" s="9">
        <f aca="true" t="shared" si="129" ref="EW21:EW31">ER21/(EQ21+ER21+ES21)</f>
        <v>0.2526526051340277</v>
      </c>
      <c r="EX21" s="9">
        <f aca="true" t="shared" si="130" ref="EX21:EX31">ES21/(EQ21+ER21+ES21)</f>
        <v>0.7298339880545731</v>
      </c>
      <c r="EZ21" s="11">
        <f t="shared" si="84"/>
        <v>1.00858294096794</v>
      </c>
      <c r="FA21" s="11">
        <f t="shared" si="85"/>
        <v>0</v>
      </c>
      <c r="FB21" s="11">
        <f t="shared" si="86"/>
        <v>0.4844976540996279</v>
      </c>
      <c r="FC21" s="11">
        <f t="shared" si="87"/>
        <v>0.0006959290931765544</v>
      </c>
      <c r="FD21" s="11">
        <f t="shared" si="88"/>
        <v>0</v>
      </c>
      <c r="FE21" s="11">
        <f t="shared" si="89"/>
        <v>0</v>
      </c>
      <c r="FF21" s="11">
        <f t="shared" si="90"/>
        <v>0.09790040194445535</v>
      </c>
      <c r="FG21" s="11">
        <f t="shared" si="91"/>
        <v>0.23620928245686568</v>
      </c>
      <c r="FH21" s="11">
        <f t="shared" si="92"/>
        <v>0.032273132617096266</v>
      </c>
      <c r="FI21" s="11">
        <f>2*'Plag P-T Results'!AA40/151.9904</f>
        <v>0</v>
      </c>
      <c r="FJ21" s="11">
        <f aca="true" t="shared" si="131" ref="FJ21:FJ31">SUM(EZ21:FI21)</f>
        <v>1.860159341179162</v>
      </c>
      <c r="FK21" s="34" t="e">
        <f aca="true" t="shared" si="132" ref="FK21:FK31">(EP21*FO21)/(EN21*FQ21)</f>
        <v>#DIV/0!</v>
      </c>
      <c r="FL21" s="11">
        <f aca="true" t="shared" si="133" ref="FL21:FL31">EZ21/$FJ21</f>
        <v>0.5422024439737488</v>
      </c>
      <c r="FM21" s="11">
        <f t="shared" si="93"/>
        <v>0</v>
      </c>
      <c r="FN21" s="11">
        <f t="shared" si="94"/>
        <v>0.260460296800436</v>
      </c>
      <c r="FO21" s="11">
        <f t="shared" si="95"/>
        <v>0.0003741233762992596</v>
      </c>
      <c r="FP21" s="11">
        <f t="shared" si="96"/>
        <v>0</v>
      </c>
      <c r="FQ21" s="11">
        <f t="shared" si="97"/>
        <v>0</v>
      </c>
      <c r="FR21" s="11">
        <f t="shared" si="98"/>
        <v>0.05263011602134896</v>
      </c>
      <c r="FS21" s="11">
        <f t="shared" si="99"/>
        <v>0.12698335955839768</v>
      </c>
      <c r="FT21" s="11">
        <f t="shared" si="100"/>
        <v>0.01734966026976926</v>
      </c>
      <c r="FU21" s="11">
        <f t="shared" si="101"/>
        <v>0</v>
      </c>
      <c r="FV21" s="11">
        <f aca="true" t="shared" si="134" ref="FV21:FV31">SUM(FL21:FU21)</f>
        <v>1</v>
      </c>
      <c r="FX21" s="11">
        <f aca="true" t="shared" si="135" ref="FX21:FX31">FR21/(FR21+FS21+FT21)</f>
        <v>0.267207951347604</v>
      </c>
      <c r="FY21" s="11">
        <f aca="true" t="shared" si="136" ref="FY21:FY31">FS21/(FR21+FS21+FT21)</f>
        <v>0.6447062238865638</v>
      </c>
      <c r="FZ21" s="11">
        <f aca="true" t="shared" si="137" ref="FZ21:FZ31">FT21/(FR21+FS21+FT21)</f>
        <v>0.0880858247658322</v>
      </c>
      <c r="GA21" s="11">
        <f aca="true" t="shared" si="138" ref="GA21:GA31">SUM(FX21:FZ21)</f>
        <v>1</v>
      </c>
      <c r="GC21" s="11">
        <f aca="true" t="shared" si="139" ref="GC21:GC31">CR21/BH21</f>
        <v>0.39188795729461107</v>
      </c>
      <c r="GD21" s="11">
        <f aca="true" t="shared" si="140" ref="GD21:GD31">-273.15+1/((LN(GC21)-0.8)/(-1400))</f>
        <v>532.9397532346771</v>
      </c>
      <c r="GE21" s="11">
        <f aca="true" t="shared" si="141" ref="GE21:GE31">1/((LN(GC21)-LN(2.55))/-1600)-273.15</f>
        <v>581.1526080112599</v>
      </c>
      <c r="GF21" s="11">
        <f aca="true" t="shared" si="142" ref="GF21:GF31">1/((LN(GC21)-LN(2.97))/(-1850))-273.15</f>
        <v>640.2763149173683</v>
      </c>
      <c r="GG21" s="11">
        <f aca="true" t="shared" si="143" ref="GG21:GG31">1/((LN(GC21)-LN(5.42))/-2500)-273.15</f>
        <v>678.5511228200241</v>
      </c>
      <c r="GI21" s="11">
        <f aca="true" t="shared" si="144" ref="GI21:GI31">6326.7-9963.2*CR21+943.3*CR21^2+2690.2*CR21^3</f>
        <v>3913.0721823126228</v>
      </c>
      <c r="GJ21" s="11">
        <f t="shared" si="102"/>
        <v>57.19550449669848</v>
      </c>
      <c r="GK21" s="11">
        <f aca="true" t="shared" si="145" ref="GK21:GK31">-1.9872*LN(GC21)+4.6321-10.815*CR21+7.7345*CR21^2-1.5512*CR21^3</f>
        <v>4.229931641315248</v>
      </c>
      <c r="GL21" s="11">
        <f aca="true" t="shared" si="146" ref="GL21:GL31">-273.15+(GI21+GJ21)/GK21</f>
        <v>665.4627302933939</v>
      </c>
      <c r="GN21" s="11">
        <f t="shared" si="0"/>
        <v>890</v>
      </c>
    </row>
    <row r="22" spans="1:196" ht="12.75">
      <c r="A22" s="11" t="s">
        <v>79</v>
      </c>
      <c r="B22" s="11" t="s">
        <v>86</v>
      </c>
      <c r="C22" s="50">
        <v>1</v>
      </c>
      <c r="D22" s="9">
        <v>880</v>
      </c>
      <c r="E22" s="11"/>
      <c r="F22" s="49">
        <v>65</v>
      </c>
      <c r="G22" s="49"/>
      <c r="H22" s="49">
        <v>19.2</v>
      </c>
      <c r="I22" s="49">
        <v>0</v>
      </c>
      <c r="J22" s="49"/>
      <c r="K22" s="49">
        <v>0</v>
      </c>
      <c r="L22" s="49">
        <v>0.35</v>
      </c>
      <c r="M22" s="49">
        <v>2.51</v>
      </c>
      <c r="N22" s="49">
        <v>12.8</v>
      </c>
      <c r="O22" s="49"/>
      <c r="P22" s="11">
        <f t="shared" si="1"/>
        <v>99.86</v>
      </c>
      <c r="Q22" s="11"/>
      <c r="R22" s="49">
        <v>59.1</v>
      </c>
      <c r="S22" s="49"/>
      <c r="T22" s="49">
        <v>25.9</v>
      </c>
      <c r="U22" s="49">
        <v>0.06</v>
      </c>
      <c r="V22" s="49"/>
      <c r="W22" s="49">
        <v>0</v>
      </c>
      <c r="X22" s="49">
        <v>6.94</v>
      </c>
      <c r="Y22" s="49">
        <v>6.78</v>
      </c>
      <c r="Z22" s="49">
        <v>1.13</v>
      </c>
      <c r="AA22" s="49"/>
      <c r="AB22" s="11">
        <f t="shared" si="2"/>
        <v>99.91</v>
      </c>
      <c r="AD22" s="54">
        <f t="shared" si="103"/>
        <v>920.4139633474631</v>
      </c>
      <c r="AE22" s="54">
        <f t="shared" si="104"/>
        <v>800.9994203136221</v>
      </c>
      <c r="AF22" s="54">
        <f t="shared" si="3"/>
        <v>800.9491421600727</v>
      </c>
      <c r="AH22" s="60">
        <f t="shared" si="4"/>
        <v>0.0173849388628985</v>
      </c>
      <c r="AI22" s="60">
        <f t="shared" si="5"/>
        <v>0.22560701205064373</v>
      </c>
      <c r="AJ22" s="60">
        <f t="shared" si="6"/>
        <v>0.7570080490864577</v>
      </c>
      <c r="AK22" s="60"/>
      <c r="AL22" s="60">
        <f t="shared" si="105"/>
        <v>0.33764262638747555</v>
      </c>
      <c r="AM22" s="60">
        <f t="shared" si="106"/>
        <v>0.5968995371007206</v>
      </c>
      <c r="AN22" s="60">
        <f t="shared" si="107"/>
        <v>0.06545783651180374</v>
      </c>
      <c r="AO22" s="57"/>
      <c r="AP22" s="61">
        <f t="shared" si="7"/>
        <v>1.6389526064929114</v>
      </c>
      <c r="AQ22" s="61">
        <f t="shared" si="8"/>
        <v>0.48471267018514</v>
      </c>
      <c r="AR22" s="61">
        <f t="shared" si="9"/>
        <v>0.7890010554877288</v>
      </c>
      <c r="AS22" s="62"/>
      <c r="AT22" s="61">
        <f t="shared" si="10"/>
        <v>1.0923598995884884</v>
      </c>
      <c r="AU22" s="61">
        <f t="shared" si="11"/>
        <v>0.6245485537249514</v>
      </c>
      <c r="AV22" s="61">
        <f t="shared" si="12"/>
        <v>0.8951812344770873</v>
      </c>
      <c r="AX22" s="63">
        <f t="shared" si="113"/>
        <v>-0.546592706904423</v>
      </c>
      <c r="AY22" s="63">
        <f t="shared" si="108"/>
        <v>0.1398358835398114</v>
      </c>
      <c r="AZ22" s="63">
        <f t="shared" si="109"/>
        <v>0.1061801789893585</v>
      </c>
      <c r="BB22" s="11">
        <f t="shared" si="13"/>
        <v>1153.15</v>
      </c>
      <c r="BD22" s="9">
        <f t="shared" si="14"/>
        <v>800.9491421600727</v>
      </c>
      <c r="BF22" s="29">
        <f t="shared" si="15"/>
        <v>1074.0991421600727</v>
      </c>
      <c r="BG22" s="11">
        <f t="shared" si="110"/>
        <v>0.33764262638747555</v>
      </c>
      <c r="BH22" s="11">
        <f t="shared" si="111"/>
        <v>0.5968995371007206</v>
      </c>
      <c r="BI22" s="11">
        <f t="shared" si="112"/>
        <v>0.06545783651180374</v>
      </c>
      <c r="BJ22" s="11">
        <f t="shared" si="114"/>
        <v>0.9999999999999999</v>
      </c>
      <c r="BK22" s="11">
        <f t="shared" si="16"/>
        <v>484.8243462122958</v>
      </c>
      <c r="BL22" s="11">
        <f t="shared" si="17"/>
        <v>-25.555999022249566</v>
      </c>
      <c r="BM22" s="11">
        <f t="shared" si="18"/>
        <v>-635.8238547683079</v>
      </c>
      <c r="BN22" s="11">
        <f t="shared" si="19"/>
        <v>1856.2406873071775</v>
      </c>
      <c r="BO22" s="11">
        <f t="shared" si="20"/>
        <v>-1001.0610517197977</v>
      </c>
      <c r="BP22" s="11">
        <f t="shared" si="21"/>
        <v>-241.98375383818805</v>
      </c>
      <c r="BQ22" s="11">
        <f t="shared" si="22"/>
        <v>-32.265513585159354</v>
      </c>
      <c r="BR22" s="11">
        <f t="shared" si="115"/>
        <v>404.3748605857707</v>
      </c>
      <c r="BS22" s="11">
        <f t="shared" si="23"/>
        <v>0.6245485537249514</v>
      </c>
      <c r="BU22" s="11">
        <f t="shared" si="24"/>
        <v>-665.5251438686496</v>
      </c>
      <c r="BV22" s="11">
        <f t="shared" si="25"/>
        <v>10.563669263319126</v>
      </c>
      <c r="BW22" s="11">
        <f t="shared" si="26"/>
        <v>7170.830434567095</v>
      </c>
      <c r="BX22" s="11">
        <f t="shared" si="27"/>
        <v>1412.8057555488829</v>
      </c>
      <c r="BY22" s="11">
        <f t="shared" si="28"/>
        <v>2089.457647776621</v>
      </c>
      <c r="BZ22" s="11">
        <f t="shared" si="29"/>
        <v>371.74006278610034</v>
      </c>
      <c r="CA22" s="11">
        <f t="shared" si="30"/>
        <v>95.57248306872113</v>
      </c>
      <c r="CB22" s="11">
        <f t="shared" si="116"/>
        <v>10485.44490914209</v>
      </c>
      <c r="CC22" s="11">
        <f t="shared" si="31"/>
        <v>1.0923598995884884</v>
      </c>
      <c r="CE22" s="11">
        <f t="shared" si="32"/>
        <v>6559.798906520407</v>
      </c>
      <c r="CF22" s="11">
        <f t="shared" si="33"/>
        <v>1381.0398916287427</v>
      </c>
      <c r="CG22" s="11">
        <f t="shared" si="34"/>
        <v>-1272.9243028523065</v>
      </c>
      <c r="CH22" s="11">
        <f t="shared" si="35"/>
        <v>-1771.5039238131624</v>
      </c>
      <c r="CI22" s="11">
        <f t="shared" si="36"/>
        <v>10948.630415300424</v>
      </c>
      <c r="CJ22" s="11">
        <f t="shared" si="37"/>
        <v>6194.290608218663</v>
      </c>
      <c r="CK22" s="11">
        <f t="shared" si="38"/>
        <v>1319.436206366289</v>
      </c>
      <c r="CL22" s="11">
        <f t="shared" si="117"/>
        <v>23358.767801369057</v>
      </c>
      <c r="CM22" s="11">
        <f t="shared" si="39"/>
        <v>0.8951812344770873</v>
      </c>
      <c r="CO22" s="11">
        <f t="shared" si="40"/>
        <v>1</v>
      </c>
      <c r="CP22" s="9">
        <f t="shared" si="41"/>
        <v>1074.0991421600727</v>
      </c>
      <c r="CQ22" s="11">
        <f t="shared" si="42"/>
        <v>0.0173849388628985</v>
      </c>
      <c r="CR22" s="11">
        <f t="shared" si="43"/>
        <v>0.22560701205064373</v>
      </c>
      <c r="CS22" s="11">
        <f t="shared" si="44"/>
        <v>0.7570080490864577</v>
      </c>
      <c r="CT22" s="11">
        <f t="shared" si="118"/>
        <v>0.9999999999999999</v>
      </c>
      <c r="CU22" s="11">
        <f t="shared" si="45"/>
        <v>4427.824027624506</v>
      </c>
      <c r="CV22" s="11">
        <f t="shared" si="46"/>
        <v>2735.3211378636065</v>
      </c>
      <c r="CW22" s="11">
        <f t="shared" si="47"/>
        <v>99.09227608788738</v>
      </c>
      <c r="CX22" s="11">
        <f t="shared" si="48"/>
        <v>112.13164962047362</v>
      </c>
      <c r="CY22" s="11">
        <f t="shared" si="49"/>
        <v>184.9791462844172</v>
      </c>
      <c r="CZ22" s="11">
        <f t="shared" si="50"/>
        <v>-784.0574854366228</v>
      </c>
      <c r="DA22" s="11">
        <f t="shared" si="51"/>
        <v>54.4057293851189</v>
      </c>
      <c r="DB22" s="11">
        <f t="shared" si="119"/>
        <v>6829.696481429387</v>
      </c>
      <c r="DC22" s="11">
        <f t="shared" si="120"/>
        <v>0.48471267018514</v>
      </c>
      <c r="DE22" s="11">
        <f t="shared" si="52"/>
        <v>88.56333765017426</v>
      </c>
      <c r="DF22" s="11">
        <f t="shared" si="53"/>
        <v>-1514.6996789401323</v>
      </c>
      <c r="DG22" s="11">
        <f t="shared" si="54"/>
        <v>2364.6631315445347</v>
      </c>
      <c r="DH22" s="11">
        <f t="shared" si="55"/>
        <v>1522.983097871422</v>
      </c>
      <c r="DI22" s="11">
        <f t="shared" si="56"/>
        <v>6351.830342084957</v>
      </c>
      <c r="DJ22" s="11">
        <f t="shared" si="57"/>
        <v>30545.06916825018</v>
      </c>
      <c r="DK22" s="11">
        <f t="shared" si="58"/>
        <v>1241.8007708077832</v>
      </c>
      <c r="DL22" s="11">
        <f t="shared" si="121"/>
        <v>40600.21016926892</v>
      </c>
      <c r="DM22" s="11">
        <f t="shared" si="122"/>
        <v>1.6389526064929114</v>
      </c>
      <c r="DO22" s="11">
        <f t="shared" si="59"/>
        <v>-448.7015140521092</v>
      </c>
      <c r="DP22" s="11">
        <f t="shared" si="60"/>
        <v>705.0404845770681</v>
      </c>
      <c r="DQ22" s="11">
        <f t="shared" si="61"/>
        <v>-30.023991792943605</v>
      </c>
      <c r="DR22" s="11">
        <f t="shared" si="62"/>
        <v>-32.15807716476969</v>
      </c>
      <c r="DS22" s="11">
        <f t="shared" si="63"/>
        <v>-68.24058364689557</v>
      </c>
      <c r="DT22" s="11">
        <f t="shared" si="64"/>
        <v>258.9372942516785</v>
      </c>
      <c r="DU22" s="11">
        <f t="shared" si="65"/>
        <v>-15.186946028832851</v>
      </c>
      <c r="DV22" s="11">
        <f t="shared" si="123"/>
        <v>369.66666614319576</v>
      </c>
      <c r="DW22" s="11">
        <f t="shared" si="124"/>
        <v>0.7890010554877288</v>
      </c>
      <c r="DY22" s="11">
        <f t="shared" si="66"/>
        <v>1.0818133855266683</v>
      </c>
      <c r="DZ22" s="11">
        <f t="shared" si="67"/>
        <v>0</v>
      </c>
      <c r="EA22" s="11">
        <f>2*H409/101.961278</f>
        <v>0</v>
      </c>
      <c r="EB22" s="11">
        <f t="shared" si="68"/>
        <v>0</v>
      </c>
      <c r="EC22" s="11">
        <f t="shared" si="69"/>
        <v>0</v>
      </c>
      <c r="ED22" s="11">
        <f t="shared" si="70"/>
        <v>0</v>
      </c>
      <c r="EE22" s="11">
        <f t="shared" si="71"/>
        <v>0.006241373530156534</v>
      </c>
      <c r="EF22" s="11">
        <f t="shared" si="72"/>
        <v>0.08099525942168481</v>
      </c>
      <c r="EG22" s="11">
        <f t="shared" si="73"/>
        <v>0.2717737483544949</v>
      </c>
      <c r="EH22" s="11">
        <f t="shared" si="74"/>
        <v>0</v>
      </c>
      <c r="EI22" s="11">
        <f t="shared" si="125"/>
        <v>1.4408237668330044</v>
      </c>
      <c r="EJ22" s="11"/>
      <c r="EK22" s="11">
        <f t="shared" si="126"/>
        <v>0.7508297755974298</v>
      </c>
      <c r="EL22" s="11">
        <f t="shared" si="75"/>
        <v>0</v>
      </c>
      <c r="EM22" s="11">
        <f t="shared" si="76"/>
        <v>0</v>
      </c>
      <c r="EN22" s="11">
        <f t="shared" si="77"/>
        <v>0</v>
      </c>
      <c r="EO22" s="11">
        <f t="shared" si="78"/>
        <v>0</v>
      </c>
      <c r="EP22" s="11">
        <f t="shared" si="79"/>
        <v>0</v>
      </c>
      <c r="EQ22" s="11">
        <f t="shared" si="80"/>
        <v>0.0043318091176933835</v>
      </c>
      <c r="ER22" s="11">
        <f t="shared" si="81"/>
        <v>0.05621454981945227</v>
      </c>
      <c r="ES22" s="11">
        <f t="shared" si="82"/>
        <v>0.1886238654654246</v>
      </c>
      <c r="ET22" s="11">
        <f t="shared" si="83"/>
        <v>0</v>
      </c>
      <c r="EU22" s="9">
        <f t="shared" si="127"/>
        <v>1</v>
      </c>
      <c r="EV22" s="9">
        <f t="shared" si="128"/>
        <v>0.0173849388628985</v>
      </c>
      <c r="EW22" s="9">
        <f t="shared" si="129"/>
        <v>0.22560701205064373</v>
      </c>
      <c r="EX22" s="9">
        <f t="shared" si="130"/>
        <v>0.7570080490864577</v>
      </c>
      <c r="EZ22" s="11">
        <f t="shared" si="84"/>
        <v>0.9836180166865555</v>
      </c>
      <c r="FA22" s="11">
        <f t="shared" si="85"/>
        <v>0</v>
      </c>
      <c r="FB22" s="11">
        <f t="shared" si="86"/>
        <v>0.5080360016672212</v>
      </c>
      <c r="FC22" s="11">
        <f t="shared" si="87"/>
        <v>0.0008351149118118652</v>
      </c>
      <c r="FD22" s="11">
        <f t="shared" si="88"/>
        <v>0</v>
      </c>
      <c r="FE22" s="11">
        <f t="shared" si="89"/>
        <v>0</v>
      </c>
      <c r="FF22" s="11">
        <f t="shared" si="90"/>
        <v>0.12375752085510386</v>
      </c>
      <c r="FG22" s="11">
        <f t="shared" si="91"/>
        <v>0.21878400752152313</v>
      </c>
      <c r="FH22" s="11">
        <f t="shared" si="92"/>
        <v>0.02399252622192025</v>
      </c>
      <c r="FI22" s="11">
        <f>2*'Plag P-T Results'!AA41/151.9904</f>
        <v>0</v>
      </c>
      <c r="FJ22" s="11">
        <f t="shared" si="131"/>
        <v>1.8590231878641357</v>
      </c>
      <c r="FK22" s="34" t="e">
        <f t="shared" si="132"/>
        <v>#DIV/0!</v>
      </c>
      <c r="FL22" s="11">
        <f t="shared" si="133"/>
        <v>0.5291047594821296</v>
      </c>
      <c r="FM22" s="11">
        <f t="shared" si="93"/>
        <v>0</v>
      </c>
      <c r="FN22" s="11">
        <f t="shared" si="94"/>
        <v>0.27328115377135914</v>
      </c>
      <c r="FO22" s="11">
        <f t="shared" si="95"/>
        <v>0.0004492224288882289</v>
      </c>
      <c r="FP22" s="11">
        <f t="shared" si="96"/>
        <v>0</v>
      </c>
      <c r="FQ22" s="11">
        <f t="shared" si="97"/>
        <v>0</v>
      </c>
      <c r="FR22" s="11">
        <f t="shared" si="98"/>
        <v>0.06657126261953249</v>
      </c>
      <c r="FS22" s="11">
        <f t="shared" si="99"/>
        <v>0.11768761624371556</v>
      </c>
      <c r="FT22" s="11">
        <f t="shared" si="100"/>
        <v>0.012905985454374932</v>
      </c>
      <c r="FU22" s="11">
        <f t="shared" si="101"/>
        <v>0</v>
      </c>
      <c r="FV22" s="11">
        <f t="shared" si="134"/>
        <v>1</v>
      </c>
      <c r="FX22" s="11">
        <f t="shared" si="135"/>
        <v>0.33764262638747555</v>
      </c>
      <c r="FY22" s="11">
        <f t="shared" si="136"/>
        <v>0.5968995371007206</v>
      </c>
      <c r="FZ22" s="11">
        <f t="shared" si="137"/>
        <v>0.06545783651180374</v>
      </c>
      <c r="GA22" s="11">
        <f t="shared" si="138"/>
        <v>0.9999999999999999</v>
      </c>
      <c r="GC22" s="11">
        <f t="shared" si="139"/>
        <v>0.3779647964655313</v>
      </c>
      <c r="GD22" s="11">
        <f t="shared" si="140"/>
        <v>516.4924990559067</v>
      </c>
      <c r="GE22" s="11">
        <f t="shared" si="141"/>
        <v>564.9642610121823</v>
      </c>
      <c r="GF22" s="11">
        <f t="shared" si="142"/>
        <v>624.2477626390056</v>
      </c>
      <c r="GG22" s="11">
        <f t="shared" si="143"/>
        <v>665.6231991134193</v>
      </c>
      <c r="GI22" s="11">
        <f t="shared" si="144"/>
        <v>4157.8365336008155</v>
      </c>
      <c r="GJ22" s="11">
        <f t="shared" si="102"/>
        <v>60.774302934373345</v>
      </c>
      <c r="GK22" s="11">
        <f t="shared" si="145"/>
        <v>4.501476892449086</v>
      </c>
      <c r="GL22" s="11">
        <f t="shared" si="146"/>
        <v>664.0114999538517</v>
      </c>
      <c r="GN22" s="11">
        <f t="shared" si="0"/>
        <v>880</v>
      </c>
    </row>
    <row r="23" spans="1:196" ht="12.75">
      <c r="A23" s="11" t="s">
        <v>79</v>
      </c>
      <c r="B23" s="11" t="s">
        <v>87</v>
      </c>
      <c r="C23" s="50">
        <v>1</v>
      </c>
      <c r="D23" s="9">
        <v>800</v>
      </c>
      <c r="E23" s="11"/>
      <c r="F23" s="49">
        <v>64.9</v>
      </c>
      <c r="G23" s="49"/>
      <c r="H23" s="49">
        <v>19.3</v>
      </c>
      <c r="I23" s="49">
        <v>0.06</v>
      </c>
      <c r="J23" s="49"/>
      <c r="K23" s="49">
        <v>0.03</v>
      </c>
      <c r="L23" s="49">
        <v>0.29</v>
      </c>
      <c r="M23" s="49">
        <v>2.3</v>
      </c>
      <c r="N23" s="49">
        <v>13.3</v>
      </c>
      <c r="O23" s="49"/>
      <c r="P23" s="11">
        <f t="shared" si="1"/>
        <v>100.18</v>
      </c>
      <c r="Q23" s="11"/>
      <c r="R23" s="49">
        <v>59</v>
      </c>
      <c r="S23" s="49"/>
      <c r="T23" s="49">
        <v>26.3</v>
      </c>
      <c r="U23" s="49">
        <v>0.05</v>
      </c>
      <c r="V23" s="49"/>
      <c r="W23" s="49">
        <v>0.03</v>
      </c>
      <c r="X23" s="49">
        <v>7.68</v>
      </c>
      <c r="Y23" s="49">
        <v>6.84</v>
      </c>
      <c r="Z23" s="49">
        <v>1.09</v>
      </c>
      <c r="AA23" s="49"/>
      <c r="AB23" s="11">
        <f t="shared" si="2"/>
        <v>100.99000000000001</v>
      </c>
      <c r="AD23" s="54">
        <f t="shared" si="103"/>
        <v>897.6565676069829</v>
      </c>
      <c r="AE23" s="54">
        <f t="shared" si="104"/>
        <v>784.0197084891631</v>
      </c>
      <c r="AF23" s="54">
        <f t="shared" si="3"/>
        <v>782.6424491028481</v>
      </c>
      <c r="AH23" s="60">
        <f t="shared" si="4"/>
        <v>0.014294384388875174</v>
      </c>
      <c r="AI23" s="60">
        <f t="shared" si="5"/>
        <v>0.20514882953983501</v>
      </c>
      <c r="AJ23" s="60">
        <f t="shared" si="6"/>
        <v>0.7805567860712899</v>
      </c>
      <c r="AK23" s="60"/>
      <c r="AL23" s="60">
        <f t="shared" si="105"/>
        <v>0.3596309662168994</v>
      </c>
      <c r="AM23" s="60">
        <f t="shared" si="106"/>
        <v>0.5795964414734279</v>
      </c>
      <c r="AN23" s="60">
        <f t="shared" si="107"/>
        <v>0.06077259230967266</v>
      </c>
      <c r="AO23" s="57"/>
      <c r="AP23" s="61">
        <f t="shared" si="7"/>
        <v>1.64402804438344</v>
      </c>
      <c r="AQ23" s="61">
        <f t="shared" si="8"/>
        <v>0.4659112892367373</v>
      </c>
      <c r="AR23" s="61">
        <f t="shared" si="9"/>
        <v>0.8063807848673508</v>
      </c>
      <c r="AS23" s="62"/>
      <c r="AT23" s="61">
        <f t="shared" si="10"/>
        <v>1.1265947587262484</v>
      </c>
      <c r="AU23" s="61">
        <f t="shared" si="11"/>
        <v>0.6196749094302713</v>
      </c>
      <c r="AV23" s="61">
        <f t="shared" si="12"/>
        <v>0.9873124760129437</v>
      </c>
      <c r="AX23" s="63">
        <f t="shared" si="113"/>
        <v>-0.5174332856571917</v>
      </c>
      <c r="AY23" s="63">
        <f t="shared" si="108"/>
        <v>0.15376362019353396</v>
      </c>
      <c r="AZ23" s="63">
        <f t="shared" si="109"/>
        <v>0.18093169114559293</v>
      </c>
      <c r="BB23" s="11">
        <f t="shared" si="13"/>
        <v>1073.15</v>
      </c>
      <c r="BD23" s="9">
        <f t="shared" si="14"/>
        <v>782.642449102848</v>
      </c>
      <c r="BF23" s="29">
        <f t="shared" si="15"/>
        <v>1055.792449102848</v>
      </c>
      <c r="BG23" s="11">
        <f t="shared" si="110"/>
        <v>0.3596309662168994</v>
      </c>
      <c r="BH23" s="11">
        <f t="shared" si="111"/>
        <v>0.5795964414734279</v>
      </c>
      <c r="BI23" s="11">
        <f t="shared" si="112"/>
        <v>0.06077259230967266</v>
      </c>
      <c r="BJ23" s="11">
        <f t="shared" si="114"/>
        <v>1</v>
      </c>
      <c r="BK23" s="11">
        <f t="shared" si="16"/>
        <v>463.57411150346746</v>
      </c>
      <c r="BL23" s="11">
        <f t="shared" si="17"/>
        <v>-20.462215057723537</v>
      </c>
      <c r="BM23" s="11">
        <f t="shared" si="18"/>
        <v>-587.6467658036893</v>
      </c>
      <c r="BN23" s="11">
        <f t="shared" si="19"/>
        <v>2003.4226469232744</v>
      </c>
      <c r="BO23" s="11">
        <f t="shared" si="20"/>
        <v>-1033.5589030353854</v>
      </c>
      <c r="BP23" s="11">
        <f t="shared" si="21"/>
        <v>-212.1779406814644</v>
      </c>
      <c r="BQ23" s="11">
        <f t="shared" si="22"/>
        <v>-26.209362466418497</v>
      </c>
      <c r="BR23" s="11">
        <f t="shared" si="115"/>
        <v>586.9415713820608</v>
      </c>
      <c r="BS23" s="11">
        <f t="shared" si="23"/>
        <v>0.6196749094302713</v>
      </c>
      <c r="BU23" s="11">
        <f t="shared" si="24"/>
        <v>-596.7768450108209</v>
      </c>
      <c r="BV23" s="11">
        <f t="shared" si="25"/>
        <v>5.828932733139718</v>
      </c>
      <c r="BW23" s="11">
        <f t="shared" si="26"/>
        <v>7155.909497095909</v>
      </c>
      <c r="BX23" s="11">
        <f t="shared" si="27"/>
        <v>1145.9623928541084</v>
      </c>
      <c r="BY23" s="11">
        <f t="shared" si="28"/>
        <v>1949.7007139348423</v>
      </c>
      <c r="BZ23" s="11">
        <f t="shared" si="29"/>
        <v>288.68103613489745</v>
      </c>
      <c r="CA23" s="11">
        <f t="shared" si="30"/>
        <v>74.49081843929345</v>
      </c>
      <c r="CB23" s="11">
        <f t="shared" si="116"/>
        <v>10023.79654618137</v>
      </c>
      <c r="CC23" s="11">
        <f t="shared" si="31"/>
        <v>1.1265947587262484</v>
      </c>
      <c r="CE23" s="11">
        <f t="shared" si="32"/>
        <v>6429.866259022312</v>
      </c>
      <c r="CF23" s="11">
        <f t="shared" si="33"/>
        <v>1386.5344655032304</v>
      </c>
      <c r="CG23" s="11">
        <f t="shared" si="34"/>
        <v>-1536.1943413815152</v>
      </c>
      <c r="CH23" s="11">
        <f t="shared" si="35"/>
        <v>-1732.6875927982517</v>
      </c>
      <c r="CI23" s="11">
        <f t="shared" si="36"/>
        <v>12145.318526277391</v>
      </c>
      <c r="CJ23" s="11">
        <f t="shared" si="37"/>
        <v>6400.33589574959</v>
      </c>
      <c r="CK23" s="11">
        <f t="shared" si="38"/>
        <v>1379.33636284872</v>
      </c>
      <c r="CL23" s="11">
        <f t="shared" si="117"/>
        <v>24472.50957522148</v>
      </c>
      <c r="CM23" s="11">
        <f t="shared" si="39"/>
        <v>0.9873124760129437</v>
      </c>
      <c r="CO23" s="11">
        <f t="shared" si="40"/>
        <v>1</v>
      </c>
      <c r="CP23" s="9">
        <f t="shared" si="41"/>
        <v>1055.792449102848</v>
      </c>
      <c r="CQ23" s="11">
        <f aca="true" t="shared" si="147" ref="CQ23:CQ31">EQ23/(EQ23+ER23+ES23)</f>
        <v>0.014294384388875174</v>
      </c>
      <c r="CR23" s="11">
        <f aca="true" t="shared" si="148" ref="CR23:CR31">ER23/(EQ23+ER23+ES23)</f>
        <v>0.20514882953983501</v>
      </c>
      <c r="CS23" s="11">
        <f aca="true" t="shared" si="149" ref="CS23:CS31">ES23/(ES23+ER23+EQ23)</f>
        <v>0.7805567860712899</v>
      </c>
      <c r="CT23" s="11">
        <f t="shared" si="118"/>
        <v>1</v>
      </c>
      <c r="CU23" s="11">
        <f t="shared" si="45"/>
        <v>4287.907809071429</v>
      </c>
      <c r="CV23" s="11">
        <f t="shared" si="46"/>
        <v>3187.48046228405</v>
      </c>
      <c r="CW23" s="11">
        <f t="shared" si="47"/>
        <v>89.75254214439688</v>
      </c>
      <c r="CX23" s="11">
        <f t="shared" si="48"/>
        <v>91.80783675031492</v>
      </c>
      <c r="CY23" s="11">
        <f t="shared" si="49"/>
        <v>175.86539987062446</v>
      </c>
      <c r="CZ23" s="11">
        <f t="shared" si="50"/>
        <v>-681.910069481256</v>
      </c>
      <c r="DA23" s="11">
        <f t="shared" si="51"/>
        <v>49.5645057134857</v>
      </c>
      <c r="DB23" s="11">
        <f t="shared" si="119"/>
        <v>7200.468486353046</v>
      </c>
      <c r="DC23" s="11">
        <f t="shared" si="120"/>
        <v>0.4659112892367373</v>
      </c>
      <c r="DE23" s="11">
        <f t="shared" si="52"/>
        <v>200.80295913648754</v>
      </c>
      <c r="DF23" s="11">
        <f t="shared" si="53"/>
        <v>-1513.8886382181122</v>
      </c>
      <c r="DG23" s="11">
        <f t="shared" si="54"/>
        <v>2199.05571213146</v>
      </c>
      <c r="DH23" s="11">
        <f t="shared" si="55"/>
        <v>1370.01920319145</v>
      </c>
      <c r="DI23" s="11">
        <f t="shared" si="56"/>
        <v>5906.237076850303</v>
      </c>
      <c r="DJ23" s="11">
        <f t="shared" si="57"/>
        <v>32319.622847571103</v>
      </c>
      <c r="DK23" s="11">
        <f t="shared" si="58"/>
        <v>1171.7760982382563</v>
      </c>
      <c r="DL23" s="11">
        <f t="shared" si="121"/>
        <v>41653.625258900945</v>
      </c>
      <c r="DM23" s="11">
        <f t="shared" si="122"/>
        <v>1.64402804438344</v>
      </c>
      <c r="DO23" s="11">
        <f t="shared" si="59"/>
        <v>-406.38817461668054</v>
      </c>
      <c r="DP23" s="11">
        <f t="shared" si="60"/>
        <v>610.6027338993695</v>
      </c>
      <c r="DQ23" s="11">
        <f t="shared" si="61"/>
        <v>-23.85883860290488</v>
      </c>
      <c r="DR23" s="11">
        <f t="shared" si="62"/>
        <v>-23.390896138482034</v>
      </c>
      <c r="DS23" s="11">
        <f t="shared" si="63"/>
        <v>-55.49008756837628</v>
      </c>
      <c r="DT23" s="11">
        <f t="shared" si="64"/>
        <v>196.64098719554931</v>
      </c>
      <c r="DU23" s="11">
        <f t="shared" si="65"/>
        <v>-12.395191502463307</v>
      </c>
      <c r="DV23" s="11">
        <f t="shared" si="123"/>
        <v>285.7205326660117</v>
      </c>
      <c r="DW23" s="11">
        <f t="shared" si="124"/>
        <v>0.8063807848673508</v>
      </c>
      <c r="DY23" s="11">
        <f t="shared" si="66"/>
        <v>1.0801490572412429</v>
      </c>
      <c r="DZ23" s="11">
        <f t="shared" si="67"/>
        <v>0</v>
      </c>
      <c r="EA23" s="11">
        <f>2*H412/101.961278</f>
        <v>0</v>
      </c>
      <c r="EB23" s="11">
        <f t="shared" si="68"/>
        <v>0.0008351149118118652</v>
      </c>
      <c r="EC23" s="11">
        <f t="shared" si="69"/>
        <v>0</v>
      </c>
      <c r="ED23" s="11">
        <f t="shared" si="70"/>
        <v>0.0007443356060380504</v>
      </c>
      <c r="EE23" s="11">
        <f t="shared" si="71"/>
        <v>0.005171423782129699</v>
      </c>
      <c r="EF23" s="11">
        <f t="shared" si="72"/>
        <v>0.07421876361349604</v>
      </c>
      <c r="EG23" s="11">
        <f t="shared" si="73"/>
        <v>0.2823899103995924</v>
      </c>
      <c r="EH23" s="11">
        <f t="shared" si="74"/>
        <v>0</v>
      </c>
      <c r="EI23" s="11">
        <f t="shared" si="125"/>
        <v>1.443508605554311</v>
      </c>
      <c r="EJ23" s="11"/>
      <c r="EK23" s="11">
        <f t="shared" si="126"/>
        <v>0.748280303342191</v>
      </c>
      <c r="EL23" s="11">
        <f t="shared" si="75"/>
        <v>0</v>
      </c>
      <c r="EM23" s="11">
        <f t="shared" si="76"/>
        <v>0</v>
      </c>
      <c r="EN23" s="11">
        <f t="shared" si="77"/>
        <v>0.0005785313011633755</v>
      </c>
      <c r="EO23" s="11">
        <f t="shared" si="78"/>
        <v>0</v>
      </c>
      <c r="EP23" s="11">
        <f t="shared" si="79"/>
        <v>0.0005156433450926492</v>
      </c>
      <c r="EQ23" s="11">
        <f t="shared" si="80"/>
        <v>0.003582537549295634</v>
      </c>
      <c r="ER23" s="11">
        <f t="shared" si="81"/>
        <v>0.05141553249348025</v>
      </c>
      <c r="ES23" s="11">
        <f t="shared" si="82"/>
        <v>0.1956274519687771</v>
      </c>
      <c r="ET23" s="11">
        <f t="shared" si="83"/>
        <v>0</v>
      </c>
      <c r="EU23" s="9">
        <f t="shared" si="127"/>
        <v>1</v>
      </c>
      <c r="EV23" s="9">
        <f t="shared" si="128"/>
        <v>0.014294384388875174</v>
      </c>
      <c r="EW23" s="9">
        <f t="shared" si="129"/>
        <v>0.20514882953983501</v>
      </c>
      <c r="EX23" s="9">
        <f t="shared" si="130"/>
        <v>0.7805567860712899</v>
      </c>
      <c r="EZ23" s="11">
        <f t="shared" si="84"/>
        <v>0.9819536884011297</v>
      </c>
      <c r="FA23" s="11">
        <f t="shared" si="85"/>
        <v>0</v>
      </c>
      <c r="FB23" s="11">
        <f t="shared" si="86"/>
        <v>0.5158821175230857</v>
      </c>
      <c r="FC23" s="11">
        <f t="shared" si="87"/>
        <v>0.0006959290931765544</v>
      </c>
      <c r="FD23" s="11">
        <f t="shared" si="88"/>
        <v>0</v>
      </c>
      <c r="FE23" s="11">
        <f t="shared" si="89"/>
        <v>0.0007443356060380504</v>
      </c>
      <c r="FF23" s="11">
        <f t="shared" si="90"/>
        <v>0.1369535677474348</v>
      </c>
      <c r="FG23" s="11">
        <f t="shared" si="91"/>
        <v>0.22072014918100563</v>
      </c>
      <c r="FH23" s="11">
        <f t="shared" si="92"/>
        <v>0.023143233258312457</v>
      </c>
      <c r="FI23" s="11">
        <f>2*'Plag P-T Results'!AA44/151.9904</f>
        <v>0</v>
      </c>
      <c r="FJ23" s="11">
        <f t="shared" si="131"/>
        <v>1.8800930208101827</v>
      </c>
      <c r="FK23" s="34">
        <f t="shared" si="132"/>
        <v>0.8333333333333334</v>
      </c>
      <c r="FL23" s="11">
        <f t="shared" si="133"/>
        <v>0.5222899492377134</v>
      </c>
      <c r="FM23" s="11">
        <f t="shared" si="93"/>
        <v>0</v>
      </c>
      <c r="FN23" s="11">
        <f t="shared" si="94"/>
        <v>0.27439180498674376</v>
      </c>
      <c r="FO23" s="11">
        <f t="shared" si="95"/>
        <v>0.0003701567345197951</v>
      </c>
      <c r="FP23" s="11">
        <f t="shared" si="96"/>
        <v>0</v>
      </c>
      <c r="FQ23" s="11">
        <f t="shared" si="97"/>
        <v>0.00039590360572547425</v>
      </c>
      <c r="FR23" s="11">
        <f t="shared" si="98"/>
        <v>0.07284403815744064</v>
      </c>
      <c r="FS23" s="11">
        <f t="shared" si="99"/>
        <v>0.11739852589096436</v>
      </c>
      <c r="FT23" s="11">
        <f t="shared" si="100"/>
        <v>0.012309621386892556</v>
      </c>
      <c r="FU23" s="11">
        <f t="shared" si="101"/>
        <v>0</v>
      </c>
      <c r="FV23" s="11">
        <f t="shared" si="134"/>
        <v>1</v>
      </c>
      <c r="FX23" s="11">
        <f t="shared" si="135"/>
        <v>0.3596309662168994</v>
      </c>
      <c r="FY23" s="11">
        <f t="shared" si="136"/>
        <v>0.5795964414734279</v>
      </c>
      <c r="FZ23" s="11">
        <f t="shared" si="137"/>
        <v>0.06077259230967266</v>
      </c>
      <c r="GA23" s="11">
        <f t="shared" si="138"/>
        <v>1</v>
      </c>
      <c r="GC23" s="11">
        <f t="shared" si="139"/>
        <v>0.353951154389964</v>
      </c>
      <c r="GD23" s="11">
        <f t="shared" si="140"/>
        <v>488.300437137931</v>
      </c>
      <c r="GE23" s="11">
        <f t="shared" si="141"/>
        <v>537.1038776802561</v>
      </c>
      <c r="GF23" s="11">
        <f t="shared" si="142"/>
        <v>596.5548974623184</v>
      </c>
      <c r="GG23" s="11">
        <f t="shared" si="143"/>
        <v>643.0398234429867</v>
      </c>
      <c r="GI23" s="11">
        <f t="shared" si="144"/>
        <v>4345.687869188206</v>
      </c>
      <c r="GJ23" s="11">
        <f t="shared" si="102"/>
        <v>63.52116281952913</v>
      </c>
      <c r="GK23" s="11">
        <f t="shared" si="145"/>
        <v>4.789435674397931</v>
      </c>
      <c r="GL23" s="11">
        <f t="shared" si="146"/>
        <v>647.4613896836095</v>
      </c>
      <c r="GN23" s="11">
        <f t="shared" si="0"/>
        <v>800</v>
      </c>
    </row>
    <row r="24" spans="1:196" ht="12.75">
      <c r="A24" s="11" t="s">
        <v>79</v>
      </c>
      <c r="B24" s="11" t="s">
        <v>88</v>
      </c>
      <c r="C24" s="50">
        <v>2</v>
      </c>
      <c r="D24" s="9">
        <v>800</v>
      </c>
      <c r="E24" s="11"/>
      <c r="F24" s="49">
        <v>64.9</v>
      </c>
      <c r="G24" s="49"/>
      <c r="H24" s="49">
        <v>18.6</v>
      </c>
      <c r="I24" s="49">
        <v>0</v>
      </c>
      <c r="J24" s="49"/>
      <c r="K24" s="49">
        <v>0</v>
      </c>
      <c r="L24" s="49">
        <v>0.17</v>
      </c>
      <c r="M24" s="49">
        <v>3.02</v>
      </c>
      <c r="N24" s="49">
        <v>12.1</v>
      </c>
      <c r="O24" s="49"/>
      <c r="P24" s="11">
        <f t="shared" si="1"/>
        <v>98.78999999999999</v>
      </c>
      <c r="Q24" s="11"/>
      <c r="R24" s="49">
        <v>63.4</v>
      </c>
      <c r="S24" s="49"/>
      <c r="T24" s="49">
        <v>23.1</v>
      </c>
      <c r="U24" s="49">
        <v>0</v>
      </c>
      <c r="V24" s="49"/>
      <c r="W24" s="49">
        <v>0</v>
      </c>
      <c r="X24" s="49">
        <v>4.38</v>
      </c>
      <c r="Y24" s="49">
        <v>8.44</v>
      </c>
      <c r="Z24" s="49">
        <v>1.01</v>
      </c>
      <c r="AA24" s="49"/>
      <c r="AB24" s="11">
        <f t="shared" si="2"/>
        <v>100.33</v>
      </c>
      <c r="AD24" s="54">
        <f t="shared" si="103"/>
        <v>818.0931749891254</v>
      </c>
      <c r="AE24" s="54">
        <f t="shared" si="104"/>
        <v>720.265021107875</v>
      </c>
      <c r="AF24" s="54">
        <f t="shared" si="3"/>
        <v>706.1104566955157</v>
      </c>
      <c r="AH24" s="60">
        <f t="shared" si="4"/>
        <v>0.008482276917481003</v>
      </c>
      <c r="AI24" s="60">
        <f t="shared" si="5"/>
        <v>0.2726743063632599</v>
      </c>
      <c r="AJ24" s="60">
        <f t="shared" si="6"/>
        <v>0.7188434167192591</v>
      </c>
      <c r="AK24" s="60"/>
      <c r="AL24" s="60">
        <f t="shared" si="105"/>
        <v>0.21001882597059043</v>
      </c>
      <c r="AM24" s="60">
        <f t="shared" si="106"/>
        <v>0.7323190157481632</v>
      </c>
      <c r="AN24" s="60">
        <f t="shared" si="107"/>
        <v>0.05766215828124637</v>
      </c>
      <c r="AO24" s="57"/>
      <c r="AP24" s="61">
        <f t="shared" si="7"/>
        <v>1.1757736429585517</v>
      </c>
      <c r="AQ24" s="61">
        <f t="shared" si="8"/>
        <v>0.660921049289127</v>
      </c>
      <c r="AR24" s="61">
        <f t="shared" si="9"/>
        <v>0.7715408169934462</v>
      </c>
      <c r="AS24" s="62"/>
      <c r="AT24" s="61">
        <f t="shared" si="10"/>
        <v>0.9732954026888467</v>
      </c>
      <c r="AU24" s="61">
        <f t="shared" si="11"/>
        <v>0.7195104021563568</v>
      </c>
      <c r="AV24" s="61">
        <f t="shared" si="12"/>
        <v>0.7849320950859994</v>
      </c>
      <c r="AX24" s="63">
        <f t="shared" si="113"/>
        <v>-0.20247824026970496</v>
      </c>
      <c r="AY24" s="63">
        <f t="shared" si="108"/>
        <v>0.05858935286722977</v>
      </c>
      <c r="AZ24" s="63">
        <f t="shared" si="109"/>
        <v>0.013391278092553138</v>
      </c>
      <c r="BB24" s="11">
        <f t="shared" si="13"/>
        <v>1073.15</v>
      </c>
      <c r="BD24" s="9">
        <f t="shared" si="14"/>
        <v>706.1104566955157</v>
      </c>
      <c r="BF24" s="29">
        <f t="shared" si="15"/>
        <v>979.2604566955157</v>
      </c>
      <c r="BG24" s="11">
        <f t="shared" si="110"/>
        <v>0.21001882597059043</v>
      </c>
      <c r="BH24" s="11">
        <f t="shared" si="111"/>
        <v>0.7323190157481632</v>
      </c>
      <c r="BI24" s="11">
        <f t="shared" si="112"/>
        <v>0.05766215828124637</v>
      </c>
      <c r="BJ24" s="11">
        <f t="shared" si="114"/>
        <v>0.9999999999999999</v>
      </c>
      <c r="BK24" s="11">
        <f t="shared" si="16"/>
        <v>347.82205919129274</v>
      </c>
      <c r="BL24" s="11">
        <f t="shared" si="17"/>
        <v>-43.24204810929293</v>
      </c>
      <c r="BM24" s="11">
        <f t="shared" si="18"/>
        <v>-623.0438136509782</v>
      </c>
      <c r="BN24" s="11">
        <f t="shared" si="19"/>
        <v>903.9478665411864</v>
      </c>
      <c r="BO24" s="11">
        <f t="shared" si="20"/>
        <v>-483.47069301195955</v>
      </c>
      <c r="BP24" s="11">
        <f t="shared" si="21"/>
        <v>-205.92115125508278</v>
      </c>
      <c r="BQ24" s="11">
        <f t="shared" si="22"/>
        <v>-39.75918817303565</v>
      </c>
      <c r="BR24" s="11">
        <f t="shared" si="115"/>
        <v>-143.66696846787</v>
      </c>
      <c r="BS24" s="11">
        <f t="shared" si="23"/>
        <v>0.7195104021563568</v>
      </c>
      <c r="BU24" s="11">
        <f t="shared" si="24"/>
        <v>-871.6451304411047</v>
      </c>
      <c r="BV24" s="11">
        <f t="shared" si="25"/>
        <v>73.1755158158141</v>
      </c>
      <c r="BW24" s="11">
        <f t="shared" si="26"/>
        <v>6823.024541600758</v>
      </c>
      <c r="BX24" s="11">
        <f t="shared" si="27"/>
        <v>3674.5693564171916</v>
      </c>
      <c r="BY24" s="11">
        <f t="shared" si="28"/>
        <v>1920.303390334145</v>
      </c>
      <c r="BZ24" s="11">
        <f t="shared" si="29"/>
        <v>693.2530373150429</v>
      </c>
      <c r="CA24" s="11">
        <f t="shared" si="30"/>
        <v>173.0472244299967</v>
      </c>
      <c r="CB24" s="11">
        <f t="shared" si="116"/>
        <v>12485.727935471843</v>
      </c>
      <c r="CC24" s="11">
        <f t="shared" si="31"/>
        <v>0.9732954026888467</v>
      </c>
      <c r="CE24" s="11">
        <f t="shared" si="32"/>
        <v>9532.739444019073</v>
      </c>
      <c r="CF24" s="11">
        <f t="shared" si="33"/>
        <v>1464.6141119416832</v>
      </c>
      <c r="CG24" s="11">
        <f t="shared" si="34"/>
        <v>91.68274985703752</v>
      </c>
      <c r="CH24" s="11">
        <f t="shared" si="35"/>
        <v>-1787.1994060312738</v>
      </c>
      <c r="CI24" s="11">
        <f t="shared" si="36"/>
        <v>6551.415853041856</v>
      </c>
      <c r="CJ24" s="11">
        <f t="shared" si="37"/>
        <v>4443.954277572947</v>
      </c>
      <c r="CK24" s="11">
        <f t="shared" si="38"/>
        <v>961.426882109555</v>
      </c>
      <c r="CL24" s="11">
        <f t="shared" si="117"/>
        <v>21258.633912510875</v>
      </c>
      <c r="CM24" s="11">
        <f t="shared" si="39"/>
        <v>0.7849320950859994</v>
      </c>
      <c r="CO24" s="11">
        <f t="shared" si="40"/>
        <v>2</v>
      </c>
      <c r="CP24" s="9">
        <f t="shared" si="41"/>
        <v>979.2604566955157</v>
      </c>
      <c r="CQ24" s="11">
        <f t="shared" si="147"/>
        <v>0.008482276917481003</v>
      </c>
      <c r="CR24" s="11">
        <f t="shared" si="148"/>
        <v>0.2726743063632599</v>
      </c>
      <c r="CS24" s="11">
        <f t="shared" si="149"/>
        <v>0.7188434167192591</v>
      </c>
      <c r="CT24" s="11">
        <f t="shared" si="118"/>
        <v>1</v>
      </c>
      <c r="CU24" s="11">
        <f t="shared" si="45"/>
        <v>5034.786669804058</v>
      </c>
      <c r="CV24" s="11">
        <f t="shared" si="46"/>
        <v>2344.7192608344694</v>
      </c>
      <c r="CW24" s="11">
        <f t="shared" si="47"/>
        <v>37.926781829039605</v>
      </c>
      <c r="CX24" s="11">
        <f t="shared" si="48"/>
        <v>53.99843859023126</v>
      </c>
      <c r="CY24" s="11">
        <f t="shared" si="49"/>
        <v>78.49611971967394</v>
      </c>
      <c r="CZ24" s="11">
        <f t="shared" si="50"/>
        <v>-360.97709961821175</v>
      </c>
      <c r="DA24" s="11">
        <f t="shared" si="51"/>
        <v>19.58839712205512</v>
      </c>
      <c r="DB24" s="11">
        <f t="shared" si="119"/>
        <v>7208.538568281317</v>
      </c>
      <c r="DC24" s="11">
        <f t="shared" si="120"/>
        <v>0.660921049289127</v>
      </c>
      <c r="DE24" s="11">
        <f t="shared" si="52"/>
        <v>-185.41614983061092</v>
      </c>
      <c r="DF24" s="11">
        <f t="shared" si="53"/>
        <v>-1840.0779777787905</v>
      </c>
      <c r="DG24" s="11">
        <f t="shared" si="54"/>
        <v>2697.966558159584</v>
      </c>
      <c r="DH24" s="11">
        <f t="shared" si="55"/>
        <v>1925.8944396823752</v>
      </c>
      <c r="DI24" s="11">
        <f t="shared" si="56"/>
        <v>6635.916112095659</v>
      </c>
      <c r="DJ24" s="11">
        <f t="shared" si="57"/>
        <v>29558.285232238195</v>
      </c>
      <c r="DK24" s="11">
        <f t="shared" si="58"/>
        <v>1361.5115432133555</v>
      </c>
      <c r="DL24" s="11">
        <f t="shared" si="121"/>
        <v>40154.079757779764</v>
      </c>
      <c r="DM24" s="11">
        <f t="shared" si="122"/>
        <v>1.1757736429585517</v>
      </c>
      <c r="DO24" s="11">
        <f t="shared" si="59"/>
        <v>-580.7542048516482</v>
      </c>
      <c r="DP24" s="11">
        <f t="shared" si="60"/>
        <v>1088.5457744711568</v>
      </c>
      <c r="DQ24" s="11">
        <f t="shared" si="61"/>
        <v>-14.579266618197208</v>
      </c>
      <c r="DR24" s="11">
        <f t="shared" si="62"/>
        <v>-20.09070605286704</v>
      </c>
      <c r="DS24" s="11">
        <f t="shared" si="63"/>
        <v>-32.90324189174834</v>
      </c>
      <c r="DT24" s="11">
        <f t="shared" si="64"/>
        <v>142.9462372300648</v>
      </c>
      <c r="DU24" s="11">
        <f t="shared" si="65"/>
        <v>-7.153091476845302</v>
      </c>
      <c r="DV24" s="11">
        <f t="shared" si="123"/>
        <v>576.0115008099156</v>
      </c>
      <c r="DW24" s="11">
        <f t="shared" si="124"/>
        <v>0.7715408169934462</v>
      </c>
      <c r="DY24" s="11">
        <f t="shared" si="66"/>
        <v>1.0801490572412429</v>
      </c>
      <c r="DZ24" s="11">
        <f t="shared" si="67"/>
        <v>0</v>
      </c>
      <c r="EA24" s="11">
        <f>2*H413/101.961278</f>
        <v>0</v>
      </c>
      <c r="EB24" s="11">
        <f t="shared" si="68"/>
        <v>0</v>
      </c>
      <c r="EC24" s="11">
        <f t="shared" si="69"/>
        <v>0</v>
      </c>
      <c r="ED24" s="11">
        <f t="shared" si="70"/>
        <v>0</v>
      </c>
      <c r="EE24" s="11">
        <f t="shared" si="71"/>
        <v>0.003031524286076031</v>
      </c>
      <c r="EF24" s="11">
        <f t="shared" si="72"/>
        <v>0.09745246352728612</v>
      </c>
      <c r="EG24" s="11">
        <f t="shared" si="73"/>
        <v>0.2569111214913584</v>
      </c>
      <c r="EH24" s="11">
        <f t="shared" si="74"/>
        <v>0</v>
      </c>
      <c r="EI24" s="11">
        <f t="shared" si="125"/>
        <v>1.4375441665459636</v>
      </c>
      <c r="EJ24" s="11"/>
      <c r="EK24" s="11">
        <f t="shared" si="126"/>
        <v>0.7513849538526206</v>
      </c>
      <c r="EL24" s="11">
        <f t="shared" si="75"/>
        <v>0</v>
      </c>
      <c r="EM24" s="11">
        <f t="shared" si="76"/>
        <v>0</v>
      </c>
      <c r="EN24" s="11">
        <f t="shared" si="77"/>
        <v>0</v>
      </c>
      <c r="EO24" s="11">
        <f t="shared" si="78"/>
        <v>0</v>
      </c>
      <c r="EP24" s="11">
        <f t="shared" si="79"/>
        <v>0</v>
      </c>
      <c r="EQ24" s="11">
        <f t="shared" si="80"/>
        <v>0.0021088216672743893</v>
      </c>
      <c r="ER24" s="11">
        <f t="shared" si="81"/>
        <v>0.06779093525970648</v>
      </c>
      <c r="ES24" s="11">
        <f t="shared" si="82"/>
        <v>0.17871528922039837</v>
      </c>
      <c r="ET24" s="11">
        <f t="shared" si="83"/>
        <v>0</v>
      </c>
      <c r="EU24" s="9">
        <f t="shared" si="127"/>
        <v>0.9999999999999999</v>
      </c>
      <c r="EV24" s="9">
        <f t="shared" si="128"/>
        <v>0.008482276917481003</v>
      </c>
      <c r="EW24" s="9">
        <f t="shared" si="129"/>
        <v>0.2726743063632599</v>
      </c>
      <c r="EX24" s="9">
        <f t="shared" si="130"/>
        <v>0.7188434167192591</v>
      </c>
      <c r="EZ24" s="11">
        <f t="shared" si="84"/>
        <v>1.0551841329598581</v>
      </c>
      <c r="FA24" s="11">
        <f t="shared" si="85"/>
        <v>0</v>
      </c>
      <c r="FB24" s="11">
        <f t="shared" si="86"/>
        <v>0.4531131906761703</v>
      </c>
      <c r="FC24" s="11">
        <f t="shared" si="87"/>
        <v>0</v>
      </c>
      <c r="FD24" s="11">
        <f t="shared" si="88"/>
        <v>0</v>
      </c>
      <c r="FE24" s="11">
        <f t="shared" si="89"/>
        <v>0</v>
      </c>
      <c r="FF24" s="11">
        <f t="shared" si="90"/>
        <v>0.07810633160595891</v>
      </c>
      <c r="FG24" s="11">
        <f t="shared" si="91"/>
        <v>0.2723505934338724</v>
      </c>
      <c r="FH24" s="11">
        <f t="shared" si="92"/>
        <v>0.021444647331096862</v>
      </c>
      <c r="FI24" s="11">
        <f>2*'Plag P-T Results'!AA45/151.9904</f>
        <v>0</v>
      </c>
      <c r="FJ24" s="11">
        <f t="shared" si="131"/>
        <v>1.8801988960069567</v>
      </c>
      <c r="FK24" s="34" t="e">
        <f t="shared" si="132"/>
        <v>#DIV/0!</v>
      </c>
      <c r="FL24" s="11">
        <f t="shared" si="133"/>
        <v>0.5612087823265874</v>
      </c>
      <c r="FM24" s="11">
        <f t="shared" si="93"/>
        <v>0</v>
      </c>
      <c r="FN24" s="11">
        <f t="shared" si="94"/>
        <v>0.2409921586692038</v>
      </c>
      <c r="FO24" s="11">
        <f t="shared" si="95"/>
        <v>0</v>
      </c>
      <c r="FP24" s="11">
        <f t="shared" si="96"/>
        <v>0</v>
      </c>
      <c r="FQ24" s="11">
        <f t="shared" si="97"/>
        <v>0</v>
      </c>
      <c r="FR24" s="11">
        <f t="shared" si="98"/>
        <v>0.04154152615015147</v>
      </c>
      <c r="FS24" s="11">
        <f t="shared" si="99"/>
        <v>0.144852012205875</v>
      </c>
      <c r="FT24" s="11">
        <f t="shared" si="100"/>
        <v>0.011405520648182276</v>
      </c>
      <c r="FU24" s="11">
        <f t="shared" si="101"/>
        <v>0</v>
      </c>
      <c r="FV24" s="11">
        <f t="shared" si="134"/>
        <v>1</v>
      </c>
      <c r="FX24" s="11">
        <f t="shared" si="135"/>
        <v>0.21001882597059043</v>
      </c>
      <c r="FY24" s="11">
        <f t="shared" si="136"/>
        <v>0.7323190157481632</v>
      </c>
      <c r="FZ24" s="11">
        <f t="shared" si="137"/>
        <v>0.05766215828124637</v>
      </c>
      <c r="GA24" s="11">
        <f t="shared" si="138"/>
        <v>0.9999999999999999</v>
      </c>
      <c r="GC24" s="11">
        <f t="shared" si="139"/>
        <v>0.37234361050243403</v>
      </c>
      <c r="GD24" s="11">
        <f t="shared" si="140"/>
        <v>509.87484164216573</v>
      </c>
      <c r="GE24" s="11">
        <f t="shared" si="141"/>
        <v>558.4372054710523</v>
      </c>
      <c r="GF24" s="11">
        <f t="shared" si="142"/>
        <v>617.7721735356857</v>
      </c>
      <c r="GG24" s="11">
        <f t="shared" si="143"/>
        <v>660.3706410667652</v>
      </c>
      <c r="GI24" s="11">
        <f t="shared" si="144"/>
        <v>3734.667172716092</v>
      </c>
      <c r="GJ24" s="11">
        <f t="shared" si="102"/>
        <v>109.17433503130225</v>
      </c>
      <c r="GK24" s="11">
        <f t="shared" si="145"/>
        <v>4.189979519569902</v>
      </c>
      <c r="GL24" s="11">
        <f t="shared" si="146"/>
        <v>644.23909218868</v>
      </c>
      <c r="GN24" s="11">
        <f t="shared" si="0"/>
        <v>800</v>
      </c>
    </row>
    <row r="25" spans="1:196" ht="12.75">
      <c r="A25" s="11" t="s">
        <v>79</v>
      </c>
      <c r="B25" s="11" t="s">
        <v>89</v>
      </c>
      <c r="C25" s="50">
        <v>2</v>
      </c>
      <c r="D25" s="9">
        <v>800</v>
      </c>
      <c r="E25" s="11"/>
      <c r="F25" s="49">
        <v>66</v>
      </c>
      <c r="G25" s="49"/>
      <c r="H25" s="49">
        <v>18.9</v>
      </c>
      <c r="I25" s="49">
        <v>0.05</v>
      </c>
      <c r="J25" s="49"/>
      <c r="K25" s="49">
        <v>0</v>
      </c>
      <c r="L25" s="49">
        <v>0.18</v>
      </c>
      <c r="M25" s="49">
        <v>3.73</v>
      </c>
      <c r="N25" s="49">
        <v>11.3</v>
      </c>
      <c r="O25" s="49"/>
      <c r="P25" s="11">
        <f t="shared" si="1"/>
        <v>100.16000000000001</v>
      </c>
      <c r="Q25" s="11"/>
      <c r="R25" s="49">
        <v>64.9</v>
      </c>
      <c r="S25" s="49"/>
      <c r="T25" s="49">
        <v>22.1</v>
      </c>
      <c r="U25" s="49">
        <v>0.07</v>
      </c>
      <c r="V25" s="49"/>
      <c r="W25" s="49">
        <v>0</v>
      </c>
      <c r="X25" s="49">
        <v>3.25</v>
      </c>
      <c r="Y25" s="49">
        <v>9.18</v>
      </c>
      <c r="Z25" s="49">
        <v>1.15</v>
      </c>
      <c r="AA25" s="49"/>
      <c r="AB25" s="11">
        <f t="shared" si="2"/>
        <v>100.65</v>
      </c>
      <c r="AD25" s="54">
        <f t="shared" si="103"/>
        <v>816.93507204791</v>
      </c>
      <c r="AE25" s="54">
        <f t="shared" si="104"/>
        <v>717.8628400269432</v>
      </c>
      <c r="AF25" s="54">
        <f t="shared" si="3"/>
        <v>702.9102068347091</v>
      </c>
      <c r="AH25" s="60">
        <f t="shared" si="4"/>
        <v>0.008830431203376971</v>
      </c>
      <c r="AI25" s="60">
        <f t="shared" si="5"/>
        <v>0.3311250119109749</v>
      </c>
      <c r="AJ25" s="60">
        <f t="shared" si="6"/>
        <v>0.6600445568856481</v>
      </c>
      <c r="AK25" s="60"/>
      <c r="AL25" s="60">
        <f t="shared" si="105"/>
        <v>0.15307774720836279</v>
      </c>
      <c r="AM25" s="60">
        <f t="shared" si="106"/>
        <v>0.7824293468671812</v>
      </c>
      <c r="AN25" s="60">
        <f t="shared" si="107"/>
        <v>0.06449290592445592</v>
      </c>
      <c r="AO25" s="57"/>
      <c r="AP25" s="61">
        <f t="shared" si="7"/>
        <v>0.9558094950795594</v>
      </c>
      <c r="AQ25" s="61">
        <f t="shared" si="8"/>
        <v>0.7338106838315691</v>
      </c>
      <c r="AR25" s="61">
        <f t="shared" si="9"/>
        <v>0.7412897598325906</v>
      </c>
      <c r="AS25" s="62"/>
      <c r="AT25" s="61">
        <f t="shared" si="10"/>
        <v>0.7873490231177321</v>
      </c>
      <c r="AU25" s="61">
        <f t="shared" si="11"/>
        <v>0.7656046991306396</v>
      </c>
      <c r="AV25" s="61">
        <f t="shared" si="12"/>
        <v>0.69371874513401</v>
      </c>
      <c r="AX25" s="63">
        <f t="shared" si="113"/>
        <v>-0.16846047196182723</v>
      </c>
      <c r="AY25" s="63">
        <f t="shared" si="108"/>
        <v>0.031794015299070444</v>
      </c>
      <c r="AZ25" s="63">
        <f t="shared" si="109"/>
        <v>-0.047571014698580605</v>
      </c>
      <c r="BB25" s="11">
        <f t="shared" si="13"/>
        <v>1073.15</v>
      </c>
      <c r="BD25" s="9">
        <f t="shared" si="14"/>
        <v>702.9102068347091</v>
      </c>
      <c r="BF25" s="29">
        <f t="shared" si="15"/>
        <v>976.0602068347091</v>
      </c>
      <c r="BG25" s="11">
        <f t="shared" si="110"/>
        <v>0.15307774720836279</v>
      </c>
      <c r="BH25" s="11">
        <f t="shared" si="111"/>
        <v>0.7824293468671812</v>
      </c>
      <c r="BI25" s="11">
        <f t="shared" si="112"/>
        <v>0.06449290592445592</v>
      </c>
      <c r="BJ25" s="11">
        <f t="shared" si="114"/>
        <v>0.9999999999999999</v>
      </c>
      <c r="BK25" s="11">
        <f t="shared" si="16"/>
        <v>337.2449386961237</v>
      </c>
      <c r="BL25" s="11">
        <f t="shared" si="17"/>
        <v>-51.14769419171747</v>
      </c>
      <c r="BM25" s="11">
        <f t="shared" si="18"/>
        <v>-428.58646829935225</v>
      </c>
      <c r="BN25" s="11">
        <f t="shared" si="19"/>
        <v>560.449727199554</v>
      </c>
      <c r="BO25" s="11">
        <f t="shared" si="20"/>
        <v>-356.1545199348914</v>
      </c>
      <c r="BP25" s="11">
        <f t="shared" si="21"/>
        <v>-198.81097901891266</v>
      </c>
      <c r="BQ25" s="11">
        <f t="shared" si="22"/>
        <v>-39.40374124903062</v>
      </c>
      <c r="BR25" s="11">
        <f t="shared" si="115"/>
        <v>-176.4087367982267</v>
      </c>
      <c r="BS25" s="11">
        <f t="shared" si="23"/>
        <v>0.7656046991306396</v>
      </c>
      <c r="BU25" s="11">
        <f t="shared" si="24"/>
        <v>-1081.2277376390405</v>
      </c>
      <c r="BV25" s="11">
        <f t="shared" si="25"/>
        <v>109.48238314727625</v>
      </c>
      <c r="BW25" s="11">
        <f t="shared" si="26"/>
        <v>5894.280501792876</v>
      </c>
      <c r="BX25" s="11">
        <f t="shared" si="27"/>
        <v>5024.816634968269</v>
      </c>
      <c r="BY25" s="11">
        <f t="shared" si="28"/>
        <v>2097.9379648837794</v>
      </c>
      <c r="BZ25" s="11">
        <f t="shared" si="29"/>
        <v>998.1513942530339</v>
      </c>
      <c r="CA25" s="11">
        <f t="shared" si="30"/>
        <v>247.39610841405687</v>
      </c>
      <c r="CB25" s="11">
        <f t="shared" si="116"/>
        <v>13290.83724982025</v>
      </c>
      <c r="CC25" s="11">
        <f t="shared" si="31"/>
        <v>0.7873490231177321</v>
      </c>
      <c r="CE25" s="11">
        <f t="shared" si="32"/>
        <v>10298.71247796095</v>
      </c>
      <c r="CF25" s="11">
        <f t="shared" si="33"/>
        <v>1459.2109864532708</v>
      </c>
      <c r="CG25" s="11">
        <f t="shared" si="34"/>
        <v>414.3653563609746</v>
      </c>
      <c r="CH25" s="11">
        <f t="shared" si="35"/>
        <v>-1536.7898466218412</v>
      </c>
      <c r="CI25" s="11">
        <f t="shared" si="36"/>
        <v>4448.104255242528</v>
      </c>
      <c r="CJ25" s="11">
        <f t="shared" si="37"/>
        <v>3457.364570318345</v>
      </c>
      <c r="CK25" s="11">
        <f t="shared" si="38"/>
        <v>737.1503160182926</v>
      </c>
      <c r="CL25" s="11">
        <f t="shared" si="117"/>
        <v>19278.11811573252</v>
      </c>
      <c r="CM25" s="11">
        <f t="shared" si="39"/>
        <v>0.69371874513401</v>
      </c>
      <c r="CO25" s="11">
        <f t="shared" si="40"/>
        <v>2</v>
      </c>
      <c r="CP25" s="9">
        <f t="shared" si="41"/>
        <v>976.0602068347091</v>
      </c>
      <c r="CQ25" s="11">
        <f t="shared" si="147"/>
        <v>0.008830431203376971</v>
      </c>
      <c r="CR25" s="11">
        <f t="shared" si="148"/>
        <v>0.3311250119109749</v>
      </c>
      <c r="CS25" s="11">
        <f t="shared" si="149"/>
        <v>0.6600445568856481</v>
      </c>
      <c r="CT25" s="11">
        <f t="shared" si="118"/>
        <v>1</v>
      </c>
      <c r="CU25" s="11">
        <f t="shared" si="45"/>
        <v>5161.016788398609</v>
      </c>
      <c r="CV25" s="11">
        <f t="shared" si="46"/>
        <v>1474.6691164092904</v>
      </c>
      <c r="CW25" s="11">
        <f t="shared" si="47"/>
        <v>27.029788171086192</v>
      </c>
      <c r="CX25" s="11">
        <f t="shared" si="48"/>
        <v>55.6230485015721</v>
      </c>
      <c r="CY25" s="11">
        <f t="shared" si="49"/>
        <v>54.01979197306217</v>
      </c>
      <c r="CZ25" s="11">
        <f t="shared" si="50"/>
        <v>-328.4334192473618</v>
      </c>
      <c r="DA25" s="11">
        <f t="shared" si="51"/>
        <v>13.90990376885146</v>
      </c>
      <c r="DB25" s="11">
        <f t="shared" si="119"/>
        <v>6457.835017975108</v>
      </c>
      <c r="DC25" s="11">
        <f t="shared" si="120"/>
        <v>0.7338106838315691</v>
      </c>
      <c r="DE25" s="11">
        <f t="shared" si="52"/>
        <v>-657.8109734941039</v>
      </c>
      <c r="DF25" s="11">
        <f t="shared" si="53"/>
        <v>-1803.5780104379942</v>
      </c>
      <c r="DG25" s="11">
        <f t="shared" si="54"/>
        <v>3026.145230483963</v>
      </c>
      <c r="DH25" s="11">
        <f t="shared" si="55"/>
        <v>2443.316760372168</v>
      </c>
      <c r="DI25" s="11">
        <f t="shared" si="56"/>
        <v>7287.810675703679</v>
      </c>
      <c r="DJ25" s="11">
        <f t="shared" si="57"/>
        <v>26202.58673477</v>
      </c>
      <c r="DK25" s="11">
        <f t="shared" si="58"/>
        <v>1517.0514894622434</v>
      </c>
      <c r="DL25" s="11">
        <f t="shared" si="121"/>
        <v>38015.52190685996</v>
      </c>
      <c r="DM25" s="11">
        <f t="shared" si="122"/>
        <v>0.9558094950795594</v>
      </c>
      <c r="DO25" s="11">
        <f t="shared" si="59"/>
        <v>-625.6665862749779</v>
      </c>
      <c r="DP25" s="11">
        <f t="shared" si="60"/>
        <v>1474.703519572355</v>
      </c>
      <c r="DQ25" s="11">
        <f t="shared" si="61"/>
        <v>-13.897254520501058</v>
      </c>
      <c r="DR25" s="11">
        <f t="shared" si="62"/>
        <v>-27.316776160366707</v>
      </c>
      <c r="DS25" s="11">
        <f t="shared" si="63"/>
        <v>-30.21252946612431</v>
      </c>
      <c r="DT25" s="11">
        <f t="shared" si="64"/>
        <v>171.0677829804818</v>
      </c>
      <c r="DU25" s="11">
        <f t="shared" si="65"/>
        <v>-6.613303217843672</v>
      </c>
      <c r="DV25" s="11">
        <f t="shared" si="123"/>
        <v>942.0648529130231</v>
      </c>
      <c r="DW25" s="11">
        <f t="shared" si="124"/>
        <v>0.7412897598325906</v>
      </c>
      <c r="DY25" s="11">
        <f t="shared" si="66"/>
        <v>1.098456668380925</v>
      </c>
      <c r="DZ25" s="11">
        <f t="shared" si="67"/>
        <v>0</v>
      </c>
      <c r="EA25" s="11">
        <f>2*H414/101.961278</f>
        <v>0</v>
      </c>
      <c r="EB25" s="11">
        <f t="shared" si="68"/>
        <v>0.0006959290931765544</v>
      </c>
      <c r="EC25" s="11">
        <f t="shared" si="69"/>
        <v>0</v>
      </c>
      <c r="ED25" s="11">
        <f t="shared" si="70"/>
        <v>0</v>
      </c>
      <c r="EE25" s="11">
        <f t="shared" si="71"/>
        <v>0.003209849244080503</v>
      </c>
      <c r="EF25" s="11">
        <f t="shared" si="72"/>
        <v>0.12036347316449576</v>
      </c>
      <c r="EG25" s="11">
        <f t="shared" si="73"/>
        <v>0.23992526221920255</v>
      </c>
      <c r="EH25" s="11">
        <f t="shared" si="74"/>
        <v>0</v>
      </c>
      <c r="EI25" s="11">
        <f t="shared" si="125"/>
        <v>1.4626511821018802</v>
      </c>
      <c r="EJ25" s="11"/>
      <c r="EK25" s="11">
        <f t="shared" si="126"/>
        <v>0.7510038496002888</v>
      </c>
      <c r="EL25" s="11">
        <f t="shared" si="75"/>
        <v>0</v>
      </c>
      <c r="EM25" s="11">
        <f t="shared" si="76"/>
        <v>0</v>
      </c>
      <c r="EN25" s="11">
        <f t="shared" si="77"/>
        <v>0.00047579976804618606</v>
      </c>
      <c r="EO25" s="11">
        <f t="shared" si="78"/>
        <v>0</v>
      </c>
      <c r="EP25" s="11">
        <f t="shared" si="79"/>
        <v>0</v>
      </c>
      <c r="EQ25" s="11">
        <f t="shared" si="80"/>
        <v>0.002194541858892042</v>
      </c>
      <c r="ER25" s="11">
        <f t="shared" si="81"/>
        <v>0.08229130406302979</v>
      </c>
      <c r="ES25" s="11">
        <f t="shared" si="82"/>
        <v>0.16403450470974335</v>
      </c>
      <c r="ET25" s="11">
        <f t="shared" si="83"/>
        <v>0</v>
      </c>
      <c r="EU25" s="9">
        <f t="shared" si="127"/>
        <v>1</v>
      </c>
      <c r="EV25" s="9">
        <f t="shared" si="128"/>
        <v>0.008830431203376971</v>
      </c>
      <c r="EW25" s="9">
        <f t="shared" si="129"/>
        <v>0.3311250119109749</v>
      </c>
      <c r="EX25" s="9">
        <f t="shared" si="130"/>
        <v>0.6600445568856481</v>
      </c>
      <c r="EZ25" s="11">
        <f t="shared" si="84"/>
        <v>1.0801490572412429</v>
      </c>
      <c r="FA25" s="11">
        <f t="shared" si="85"/>
        <v>0</v>
      </c>
      <c r="FB25" s="11">
        <f t="shared" si="86"/>
        <v>0.43349790103650926</v>
      </c>
      <c r="FC25" s="11">
        <f t="shared" si="87"/>
        <v>0.0009743007304471763</v>
      </c>
      <c r="FD25" s="11">
        <f t="shared" si="88"/>
        <v>0</v>
      </c>
      <c r="FE25" s="11">
        <f t="shared" si="89"/>
        <v>0</v>
      </c>
      <c r="FF25" s="11">
        <f t="shared" si="90"/>
        <v>0.05795561135145353</v>
      </c>
      <c r="FG25" s="11">
        <f t="shared" si="91"/>
        <v>0.29622967390082333</v>
      </c>
      <c r="FH25" s="11">
        <f t="shared" si="92"/>
        <v>0.02441717270372415</v>
      </c>
      <c r="FI25" s="11">
        <f>2*'Plag P-T Results'!AA46/151.9904</f>
        <v>0</v>
      </c>
      <c r="FJ25" s="11">
        <f t="shared" si="131"/>
        <v>1.8932237169642</v>
      </c>
      <c r="FK25" s="34" t="e">
        <f t="shared" si="132"/>
        <v>#DIV/0!</v>
      </c>
      <c r="FL25" s="11">
        <f t="shared" si="133"/>
        <v>0.5705342942635807</v>
      </c>
      <c r="FM25" s="11">
        <f t="shared" si="93"/>
        <v>0</v>
      </c>
      <c r="FN25" s="11">
        <f t="shared" si="94"/>
        <v>0.22897341563607007</v>
      </c>
      <c r="FO25" s="11">
        <f t="shared" si="95"/>
        <v>0.000514625250949991</v>
      </c>
      <c r="FP25" s="11">
        <f t="shared" si="96"/>
        <v>0</v>
      </c>
      <c r="FQ25" s="11">
        <f t="shared" si="97"/>
        <v>0</v>
      </c>
      <c r="FR25" s="11">
        <f t="shared" si="98"/>
        <v>0.03061213042713506</v>
      </c>
      <c r="FS25" s="11">
        <f t="shared" si="99"/>
        <v>0.15646839369613966</v>
      </c>
      <c r="FT25" s="11">
        <f t="shared" si="100"/>
        <v>0.012897140726124691</v>
      </c>
      <c r="FU25" s="11">
        <f t="shared" si="101"/>
        <v>0</v>
      </c>
      <c r="FV25" s="11">
        <f t="shared" si="134"/>
        <v>1.0000000000000002</v>
      </c>
      <c r="FX25" s="11">
        <f t="shared" si="135"/>
        <v>0.15307774720836279</v>
      </c>
      <c r="FY25" s="11">
        <f t="shared" si="136"/>
        <v>0.7824293468671812</v>
      </c>
      <c r="FZ25" s="11">
        <f t="shared" si="137"/>
        <v>0.06449290592445592</v>
      </c>
      <c r="GA25" s="11">
        <f t="shared" si="138"/>
        <v>0.9999999999999999</v>
      </c>
      <c r="GC25" s="11">
        <f t="shared" si="139"/>
        <v>0.4232011660053236</v>
      </c>
      <c r="GD25" s="11">
        <f t="shared" si="140"/>
        <v>570.2704190271078</v>
      </c>
      <c r="GE25" s="11">
        <f t="shared" si="141"/>
        <v>617.7180996619306</v>
      </c>
      <c r="GF25" s="11">
        <f t="shared" si="142"/>
        <v>676.3131087673945</v>
      </c>
      <c r="GG25" s="11">
        <f t="shared" si="143"/>
        <v>707.2408271135566</v>
      </c>
      <c r="GI25" s="11">
        <f t="shared" si="144"/>
        <v>3228.7321047727564</v>
      </c>
      <c r="GJ25" s="11">
        <f t="shared" si="102"/>
        <v>94.38227533136843</v>
      </c>
      <c r="GK25" s="11">
        <f t="shared" si="145"/>
        <v>3.551513680586436</v>
      </c>
      <c r="GL25" s="11">
        <f t="shared" si="146"/>
        <v>662.5395901229931</v>
      </c>
      <c r="GN25" s="11">
        <f t="shared" si="0"/>
        <v>800</v>
      </c>
    </row>
    <row r="26" spans="1:196" ht="12.75">
      <c r="A26" s="11" t="s">
        <v>79</v>
      </c>
      <c r="B26" s="11" t="s">
        <v>90</v>
      </c>
      <c r="C26" s="50">
        <v>2</v>
      </c>
      <c r="D26" s="9">
        <v>800</v>
      </c>
      <c r="E26" s="11"/>
      <c r="F26" s="49">
        <v>66</v>
      </c>
      <c r="G26" s="49"/>
      <c r="H26" s="49">
        <v>19.2</v>
      </c>
      <c r="I26" s="49">
        <v>0</v>
      </c>
      <c r="J26" s="49"/>
      <c r="K26" s="49">
        <v>0</v>
      </c>
      <c r="L26" s="49">
        <v>0.18</v>
      </c>
      <c r="M26" s="49">
        <v>4.31</v>
      </c>
      <c r="N26" s="49">
        <v>10.4</v>
      </c>
      <c r="O26" s="49"/>
      <c r="P26" s="11">
        <f t="shared" si="1"/>
        <v>100.09000000000002</v>
      </c>
      <c r="Q26" s="11"/>
      <c r="R26" s="49">
        <v>66.1</v>
      </c>
      <c r="S26" s="49"/>
      <c r="T26" s="49">
        <v>20.8</v>
      </c>
      <c r="U26" s="49">
        <v>0.15</v>
      </c>
      <c r="V26" s="49"/>
      <c r="W26" s="49">
        <v>0</v>
      </c>
      <c r="X26" s="49">
        <v>0.97</v>
      </c>
      <c r="Y26" s="49">
        <v>8.44</v>
      </c>
      <c r="Z26" s="49">
        <v>3.78</v>
      </c>
      <c r="AA26" s="49"/>
      <c r="AB26" s="11">
        <f t="shared" si="2"/>
        <v>100.24</v>
      </c>
      <c r="AD26" s="54">
        <f t="shared" si="103"/>
        <v>787.6419853557122</v>
      </c>
      <c r="AE26" s="54">
        <f t="shared" si="104"/>
        <v>691.7203503582812</v>
      </c>
      <c r="AF26" s="54">
        <f t="shared" si="3"/>
        <v>711.4613986524181</v>
      </c>
      <c r="AH26" s="60">
        <f t="shared" si="4"/>
        <v>0.008839989996914141</v>
      </c>
      <c r="AI26" s="60">
        <f t="shared" si="5"/>
        <v>0.38302779248138025</v>
      </c>
      <c r="AJ26" s="60">
        <f t="shared" si="6"/>
        <v>0.6081322175217055</v>
      </c>
      <c r="AK26" s="60"/>
      <c r="AL26" s="60">
        <f t="shared" si="105"/>
        <v>0.04676189876597829</v>
      </c>
      <c r="AM26" s="60">
        <f t="shared" si="106"/>
        <v>0.736269141293331</v>
      </c>
      <c r="AN26" s="60">
        <f t="shared" si="107"/>
        <v>0.21696895994069054</v>
      </c>
      <c r="AO26" s="57"/>
      <c r="AP26" s="61">
        <f t="shared" si="7"/>
        <v>0.7158773567708351</v>
      </c>
      <c r="AQ26" s="61">
        <f t="shared" si="8"/>
        <v>0.7719008405700554</v>
      </c>
      <c r="AR26" s="61">
        <f t="shared" si="9"/>
        <v>0.7170594800086698</v>
      </c>
      <c r="AS26" s="62"/>
      <c r="AT26" s="61">
        <f t="shared" si="10"/>
        <v>0.5074963640822655</v>
      </c>
      <c r="AU26" s="61">
        <f t="shared" si="11"/>
        <v>0.8029839024946106</v>
      </c>
      <c r="AV26" s="61">
        <f t="shared" si="12"/>
        <v>0.7258466582602241</v>
      </c>
      <c r="AX26" s="63">
        <f t="shared" si="113"/>
        <v>-0.20838099268856958</v>
      </c>
      <c r="AY26" s="63">
        <f t="shared" si="108"/>
        <v>0.031083061924555233</v>
      </c>
      <c r="AZ26" s="63">
        <f t="shared" si="109"/>
        <v>0.008787178251554284</v>
      </c>
      <c r="BB26" s="11">
        <f t="shared" si="13"/>
        <v>1073.15</v>
      </c>
      <c r="BD26" s="9">
        <f t="shared" si="14"/>
        <v>711.4613986524181</v>
      </c>
      <c r="BF26" s="29">
        <f t="shared" si="15"/>
        <v>984.6113986524181</v>
      </c>
      <c r="BG26" s="11">
        <f t="shared" si="110"/>
        <v>0.04676189876597829</v>
      </c>
      <c r="BH26" s="11">
        <f t="shared" si="111"/>
        <v>0.736269141293331</v>
      </c>
      <c r="BI26" s="11">
        <f t="shared" si="112"/>
        <v>0.21696895994069054</v>
      </c>
      <c r="BJ26" s="11">
        <f t="shared" si="114"/>
        <v>0.9999999999999998</v>
      </c>
      <c r="BK26" s="11">
        <f t="shared" si="16"/>
        <v>1435.8007110437825</v>
      </c>
      <c r="BL26" s="11">
        <f t="shared" si="17"/>
        <v>-243.10909396990166</v>
      </c>
      <c r="BM26" s="11">
        <f t="shared" si="18"/>
        <v>-91.6177802424392</v>
      </c>
      <c r="BN26" s="11">
        <f t="shared" si="19"/>
        <v>179.31737808346307</v>
      </c>
      <c r="BO26" s="11">
        <f t="shared" si="20"/>
        <v>-204.2421456399923</v>
      </c>
      <c r="BP26" s="11">
        <f t="shared" si="21"/>
        <v>-332.1882175980191</v>
      </c>
      <c r="BQ26" s="11">
        <f t="shared" si="22"/>
        <v>-33.87664367999801</v>
      </c>
      <c r="BR26" s="11">
        <f t="shared" si="115"/>
        <v>710.0842079968955</v>
      </c>
      <c r="BS26" s="11">
        <f t="shared" si="23"/>
        <v>0.8029839024946106</v>
      </c>
      <c r="BU26" s="11">
        <f t="shared" si="24"/>
        <v>-2855.8793248874326</v>
      </c>
      <c r="BV26" s="11">
        <f t="shared" si="25"/>
        <v>30.417129869556266</v>
      </c>
      <c r="BW26" s="11">
        <f t="shared" si="26"/>
        <v>3686.7326914035834</v>
      </c>
      <c r="BX26" s="11">
        <f t="shared" si="27"/>
        <v>6413.6686513924105</v>
      </c>
      <c r="BY26" s="11">
        <f t="shared" si="28"/>
        <v>5600.206449124242</v>
      </c>
      <c r="BZ26" s="11">
        <f t="shared" si="29"/>
        <v>5621.7588685541305</v>
      </c>
      <c r="CA26" s="11">
        <f t="shared" si="30"/>
        <v>1023.2087514717948</v>
      </c>
      <c r="CB26" s="11">
        <f t="shared" si="116"/>
        <v>19520.113216928283</v>
      </c>
      <c r="CC26" s="11">
        <f t="shared" si="31"/>
        <v>0.5074963640822655</v>
      </c>
      <c r="CE26" s="11">
        <f t="shared" si="32"/>
        <v>5552.873765712723</v>
      </c>
      <c r="CF26" s="11">
        <f t="shared" si="33"/>
        <v>2564.2532785282897</v>
      </c>
      <c r="CG26" s="11">
        <f t="shared" si="34"/>
        <v>174.25437833110755</v>
      </c>
      <c r="CH26" s="11">
        <f t="shared" si="35"/>
        <v>-465.8855902210532</v>
      </c>
      <c r="CI26" s="11">
        <f t="shared" si="36"/>
        <v>670.3632633556495</v>
      </c>
      <c r="CJ26" s="11">
        <f t="shared" si="37"/>
        <v>1252.2641774087172</v>
      </c>
      <c r="CK26" s="11">
        <f t="shared" si="38"/>
        <v>137.71030241259774</v>
      </c>
      <c r="CL26" s="11">
        <f t="shared" si="117"/>
        <v>9885.833575528031</v>
      </c>
      <c r="CM26" s="11">
        <f t="shared" si="39"/>
        <v>0.7258466582602241</v>
      </c>
      <c r="CO26" s="11">
        <f t="shared" si="40"/>
        <v>2</v>
      </c>
      <c r="CP26" s="9">
        <f t="shared" si="41"/>
        <v>984.6113986524181</v>
      </c>
      <c r="CQ26" s="11">
        <f t="shared" si="147"/>
        <v>0.008839989996914141</v>
      </c>
      <c r="CR26" s="11">
        <f t="shared" si="148"/>
        <v>0.38302779248138025</v>
      </c>
      <c r="CS26" s="11">
        <f t="shared" si="149"/>
        <v>0.6081322175217055</v>
      </c>
      <c r="CT26" s="11">
        <f t="shared" si="118"/>
        <v>1</v>
      </c>
      <c r="CU26" s="11">
        <f t="shared" si="45"/>
        <v>5052.1537062226935</v>
      </c>
      <c r="CV26" s="11">
        <f t="shared" si="46"/>
        <v>859.7584304593565</v>
      </c>
      <c r="CW26" s="11">
        <f t="shared" si="47"/>
        <v>17.2825425163947</v>
      </c>
      <c r="CX26" s="11">
        <f t="shared" si="48"/>
        <v>54.68272238808418</v>
      </c>
      <c r="CY26" s="11">
        <f t="shared" si="49"/>
        <v>32.58211755886156</v>
      </c>
      <c r="CZ26" s="11">
        <f t="shared" si="50"/>
        <v>-288.7010900037832</v>
      </c>
      <c r="DA26" s="11">
        <f t="shared" si="51"/>
        <v>8.88660957789088</v>
      </c>
      <c r="DB26" s="11">
        <f t="shared" si="119"/>
        <v>5736.645038719499</v>
      </c>
      <c r="DC26" s="11">
        <f t="shared" si="120"/>
        <v>0.7719008405700554</v>
      </c>
      <c r="DE26" s="11">
        <f t="shared" si="52"/>
        <v>-1123.0512967279324</v>
      </c>
      <c r="DF26" s="11">
        <f t="shared" si="53"/>
        <v>-1666.293466356785</v>
      </c>
      <c r="DG26" s="11">
        <f t="shared" si="54"/>
        <v>3234.7477215576023</v>
      </c>
      <c r="DH26" s="11">
        <f t="shared" si="55"/>
        <v>2940.917405963402</v>
      </c>
      <c r="DI26" s="11">
        <f t="shared" si="56"/>
        <v>7633.864049547907</v>
      </c>
      <c r="DJ26" s="11">
        <f t="shared" si="57"/>
        <v>23336.42464068171</v>
      </c>
      <c r="DK26" s="11">
        <f t="shared" si="58"/>
        <v>1616.794889673291</v>
      </c>
      <c r="DL26" s="11">
        <f t="shared" si="121"/>
        <v>35973.403944339196</v>
      </c>
      <c r="DM26" s="11">
        <f t="shared" si="122"/>
        <v>0.7158773567708351</v>
      </c>
      <c r="DO26" s="11">
        <f t="shared" si="59"/>
        <v>-562.9011331153899</v>
      </c>
      <c r="DP26" s="11">
        <f t="shared" si="60"/>
        <v>1797.4160083500838</v>
      </c>
      <c r="DQ26" s="11">
        <f t="shared" si="61"/>
        <v>-11.377162466511528</v>
      </c>
      <c r="DR26" s="11">
        <f t="shared" si="62"/>
        <v>-33.672104064750776</v>
      </c>
      <c r="DS26" s="11">
        <f t="shared" si="63"/>
        <v>-23.38023738704515</v>
      </c>
      <c r="DT26" s="11">
        <f t="shared" si="64"/>
        <v>187.9417858423341</v>
      </c>
      <c r="DU26" s="11">
        <f t="shared" si="65"/>
        <v>-5.174171258562973</v>
      </c>
      <c r="DV26" s="11">
        <f t="shared" si="123"/>
        <v>1348.8529859001578</v>
      </c>
      <c r="DW26" s="11">
        <f t="shared" si="124"/>
        <v>0.7170594800086698</v>
      </c>
      <c r="DY26" s="11">
        <f t="shared" si="66"/>
        <v>1.098456668380925</v>
      </c>
      <c r="DZ26" s="11">
        <f t="shared" si="67"/>
        <v>0</v>
      </c>
      <c r="EA26" s="11">
        <f>2*H415/101.961278</f>
        <v>0</v>
      </c>
      <c r="EB26" s="11">
        <f t="shared" si="68"/>
        <v>0</v>
      </c>
      <c r="EC26" s="11">
        <f t="shared" si="69"/>
        <v>0</v>
      </c>
      <c r="ED26" s="11">
        <f t="shared" si="70"/>
        <v>0</v>
      </c>
      <c r="EE26" s="11">
        <f t="shared" si="71"/>
        <v>0.003209849244080503</v>
      </c>
      <c r="EF26" s="11">
        <f t="shared" si="72"/>
        <v>0.13907950920615997</v>
      </c>
      <c r="EG26" s="11">
        <f t="shared" si="73"/>
        <v>0.2208161705380271</v>
      </c>
      <c r="EH26" s="11">
        <f t="shared" si="74"/>
        <v>0</v>
      </c>
      <c r="EI26" s="11">
        <f t="shared" si="125"/>
        <v>1.4615621973691926</v>
      </c>
      <c r="EJ26" s="11"/>
      <c r="EK26" s="11">
        <f t="shared" si="126"/>
        <v>0.7515634095888246</v>
      </c>
      <c r="EL26" s="11">
        <f t="shared" si="75"/>
        <v>0</v>
      </c>
      <c r="EM26" s="11">
        <f t="shared" si="76"/>
        <v>0</v>
      </c>
      <c r="EN26" s="11">
        <f t="shared" si="77"/>
        <v>0</v>
      </c>
      <c r="EO26" s="11">
        <f t="shared" si="78"/>
        <v>0</v>
      </c>
      <c r="EP26" s="11">
        <f t="shared" si="79"/>
        <v>0</v>
      </c>
      <c r="EQ26" s="11">
        <f t="shared" si="80"/>
        <v>0.002196176974102246</v>
      </c>
      <c r="ER26" s="11">
        <f t="shared" si="81"/>
        <v>0.09515811879679335</v>
      </c>
      <c r="ES26" s="11">
        <f t="shared" si="82"/>
        <v>0.15108229464027978</v>
      </c>
      <c r="ET26" s="11">
        <f t="shared" si="83"/>
        <v>0</v>
      </c>
      <c r="EU26" s="9">
        <f t="shared" si="127"/>
        <v>1</v>
      </c>
      <c r="EV26" s="9">
        <f t="shared" si="128"/>
        <v>0.008839989996914141</v>
      </c>
      <c r="EW26" s="9">
        <f t="shared" si="129"/>
        <v>0.38302779248138025</v>
      </c>
      <c r="EX26" s="9">
        <f t="shared" si="130"/>
        <v>0.6081322175217055</v>
      </c>
      <c r="EZ26" s="11">
        <f t="shared" si="84"/>
        <v>1.1001209966663503</v>
      </c>
      <c r="FA26" s="11">
        <f t="shared" si="85"/>
        <v>0</v>
      </c>
      <c r="FB26" s="11">
        <f t="shared" si="86"/>
        <v>0.4079980245049499</v>
      </c>
      <c r="FC26" s="11">
        <f t="shared" si="87"/>
        <v>0.002087787279529663</v>
      </c>
      <c r="FD26" s="11">
        <f t="shared" si="88"/>
        <v>0</v>
      </c>
      <c r="FE26" s="11">
        <f t="shared" si="89"/>
        <v>0</v>
      </c>
      <c r="FF26" s="11">
        <f t="shared" si="90"/>
        <v>0.017297520926433822</v>
      </c>
      <c r="FG26" s="11">
        <f t="shared" si="91"/>
        <v>0.2723505934338724</v>
      </c>
      <c r="FH26" s="11">
        <f t="shared" si="92"/>
        <v>0.08025818506093677</v>
      </c>
      <c r="FI26" s="11">
        <f>2*'Plag P-T Results'!AA47/151.9904</f>
        <v>0</v>
      </c>
      <c r="FJ26" s="11">
        <f t="shared" si="131"/>
        <v>1.880113107872073</v>
      </c>
      <c r="FK26" s="34" t="e">
        <f t="shared" si="132"/>
        <v>#DIV/0!</v>
      </c>
      <c r="FL26" s="11">
        <f t="shared" si="133"/>
        <v>0.5851355389524815</v>
      </c>
      <c r="FM26" s="11">
        <f t="shared" si="93"/>
        <v>0</v>
      </c>
      <c r="FN26" s="11">
        <f t="shared" si="94"/>
        <v>0.21700716983284335</v>
      </c>
      <c r="FO26" s="11">
        <f t="shared" si="95"/>
        <v>0.00111045833933504</v>
      </c>
      <c r="FP26" s="11">
        <f t="shared" si="96"/>
        <v>0</v>
      </c>
      <c r="FQ26" s="11">
        <f t="shared" si="97"/>
        <v>0</v>
      </c>
      <c r="FR26" s="11">
        <f t="shared" si="98"/>
        <v>0.009200255481443504</v>
      </c>
      <c r="FS26" s="11">
        <f t="shared" si="99"/>
        <v>0.14485862169330918</v>
      </c>
      <c r="FT26" s="11">
        <f t="shared" si="100"/>
        <v>0.04268795570058741</v>
      </c>
      <c r="FU26" s="11">
        <f t="shared" si="101"/>
        <v>0</v>
      </c>
      <c r="FV26" s="11">
        <f t="shared" si="134"/>
        <v>0.9999999999999999</v>
      </c>
      <c r="FX26" s="11">
        <f t="shared" si="135"/>
        <v>0.04676189876597829</v>
      </c>
      <c r="FY26" s="11">
        <f t="shared" si="136"/>
        <v>0.736269141293331</v>
      </c>
      <c r="FZ26" s="11">
        <f t="shared" si="137"/>
        <v>0.21696895994069054</v>
      </c>
      <c r="GA26" s="11">
        <f t="shared" si="138"/>
        <v>0.9999999999999998</v>
      </c>
      <c r="GC26" s="11">
        <f t="shared" si="139"/>
        <v>0.5202279587713717</v>
      </c>
      <c r="GD26" s="11">
        <f t="shared" si="140"/>
        <v>690.0501264910706</v>
      </c>
      <c r="GE26" s="11">
        <f t="shared" si="141"/>
        <v>733.4042152758545</v>
      </c>
      <c r="GF26" s="11">
        <f t="shared" si="142"/>
        <v>788.8171408194252</v>
      </c>
      <c r="GG26" s="11">
        <f t="shared" si="143"/>
        <v>793.5922219794314</v>
      </c>
      <c r="GI26" s="11">
        <f t="shared" si="144"/>
        <v>2800.082731761421</v>
      </c>
      <c r="GJ26" s="11">
        <f t="shared" si="102"/>
        <v>81.85194477096933</v>
      </c>
      <c r="GK26" s="11">
        <f t="shared" si="145"/>
        <v>2.8358285580587417</v>
      </c>
      <c r="GL26" s="11">
        <f t="shared" si="146"/>
        <v>743.1084294253707</v>
      </c>
      <c r="GN26" s="11">
        <f t="shared" si="0"/>
        <v>800</v>
      </c>
    </row>
    <row r="27" spans="1:196" ht="12.75">
      <c r="A27" s="11" t="s">
        <v>79</v>
      </c>
      <c r="B27" s="11" t="s">
        <v>91</v>
      </c>
      <c r="C27" s="50">
        <v>2</v>
      </c>
      <c r="D27" s="9">
        <v>800</v>
      </c>
      <c r="E27" s="11"/>
      <c r="F27" s="49">
        <v>65.5</v>
      </c>
      <c r="G27" s="49"/>
      <c r="H27" s="49">
        <v>18.9</v>
      </c>
      <c r="I27" s="49">
        <v>0.11</v>
      </c>
      <c r="J27" s="49"/>
      <c r="K27" s="49">
        <v>0.04</v>
      </c>
      <c r="L27" s="49">
        <v>0.17</v>
      </c>
      <c r="M27" s="49">
        <v>2.58</v>
      </c>
      <c r="N27" s="49">
        <v>12.5</v>
      </c>
      <c r="O27" s="49"/>
      <c r="P27" s="11">
        <f t="shared" si="1"/>
        <v>99.80000000000001</v>
      </c>
      <c r="Q27" s="11"/>
      <c r="R27" s="49">
        <v>63.8</v>
      </c>
      <c r="S27" s="49"/>
      <c r="T27" s="49">
        <v>23.2</v>
      </c>
      <c r="U27" s="49">
        <v>0.09</v>
      </c>
      <c r="V27" s="49"/>
      <c r="W27" s="49">
        <v>0</v>
      </c>
      <c r="X27" s="49">
        <v>4.23</v>
      </c>
      <c r="Y27" s="49">
        <v>8.42</v>
      </c>
      <c r="Z27" s="49">
        <v>1.38</v>
      </c>
      <c r="AA27" s="49"/>
      <c r="AB27" s="11">
        <f t="shared" si="2"/>
        <v>101.12</v>
      </c>
      <c r="AD27" s="54">
        <f t="shared" si="103"/>
        <v>796.8681268235946</v>
      </c>
      <c r="AE27" s="54">
        <f t="shared" si="104"/>
        <v>701.8979037337773</v>
      </c>
      <c r="AF27" s="54">
        <f t="shared" si="3"/>
        <v>694.052156015489</v>
      </c>
      <c r="AH27" s="60">
        <f t="shared" si="4"/>
        <v>0.008619884439333675</v>
      </c>
      <c r="AI27" s="60">
        <f t="shared" si="5"/>
        <v>0.2367260093879767</v>
      </c>
      <c r="AJ27" s="60">
        <f t="shared" si="6"/>
        <v>0.7546541061726897</v>
      </c>
      <c r="AK27" s="60"/>
      <c r="AL27" s="60">
        <f t="shared" si="105"/>
        <v>0.2003825385325461</v>
      </c>
      <c r="AM27" s="60">
        <f t="shared" si="106"/>
        <v>0.7217808363333169</v>
      </c>
      <c r="AN27" s="60">
        <f t="shared" si="107"/>
        <v>0.07783662513413708</v>
      </c>
      <c r="AO27" s="57"/>
      <c r="AP27" s="61">
        <f t="shared" si="7"/>
        <v>1.5028981977458986</v>
      </c>
      <c r="AQ27" s="61">
        <f t="shared" si="8"/>
        <v>0.6167562680478184</v>
      </c>
      <c r="AR27" s="61">
        <f t="shared" si="9"/>
        <v>0.7951580408522764</v>
      </c>
      <c r="AS27" s="62"/>
      <c r="AT27" s="61">
        <f t="shared" si="10"/>
        <v>1.0267345869748028</v>
      </c>
      <c r="AU27" s="61">
        <f t="shared" si="11"/>
        <v>0.703855233299955</v>
      </c>
      <c r="AV27" s="61">
        <f t="shared" si="12"/>
        <v>0.9378719746946234</v>
      </c>
      <c r="AX27" s="63">
        <f t="shared" si="113"/>
        <v>-0.4761636107710958</v>
      </c>
      <c r="AY27" s="63">
        <f t="shared" si="108"/>
        <v>0.08709896525213667</v>
      </c>
      <c r="AZ27" s="63">
        <f t="shared" si="109"/>
        <v>0.14271393384234698</v>
      </c>
      <c r="BB27" s="11">
        <f t="shared" si="13"/>
        <v>1073.15</v>
      </c>
      <c r="BD27" s="9">
        <f t="shared" si="14"/>
        <v>694.052156015489</v>
      </c>
      <c r="BF27" s="29">
        <f t="shared" si="15"/>
        <v>967.202156015489</v>
      </c>
      <c r="BG27" s="11">
        <f t="shared" si="110"/>
        <v>0.2003825385325461</v>
      </c>
      <c r="BH27" s="11">
        <f t="shared" si="111"/>
        <v>0.7217808363333169</v>
      </c>
      <c r="BI27" s="11">
        <f t="shared" si="112"/>
        <v>0.07783662513413708</v>
      </c>
      <c r="BJ27" s="11">
        <f t="shared" si="114"/>
        <v>1</v>
      </c>
      <c r="BK27" s="11">
        <f t="shared" si="16"/>
        <v>490.66914086966835</v>
      </c>
      <c r="BL27" s="11">
        <f t="shared" si="17"/>
        <v>-61.76209252333902</v>
      </c>
      <c r="BM27" s="11">
        <f t="shared" si="18"/>
        <v>-569.717226833002</v>
      </c>
      <c r="BN27" s="11">
        <f t="shared" si="19"/>
        <v>873.8854617924551</v>
      </c>
      <c r="BO27" s="11">
        <f t="shared" si="20"/>
        <v>-597.6793724072224</v>
      </c>
      <c r="BP27" s="11">
        <f t="shared" si="21"/>
        <v>-288.7509525977227</v>
      </c>
      <c r="BQ27" s="11">
        <f t="shared" si="22"/>
        <v>-48.8845382310938</v>
      </c>
      <c r="BR27" s="11">
        <f t="shared" si="115"/>
        <v>-202.23957993025647</v>
      </c>
      <c r="BS27" s="11">
        <f t="shared" si="23"/>
        <v>0.703855233299955</v>
      </c>
      <c r="BU27" s="11">
        <f t="shared" si="24"/>
        <v>-1134.2403671764396</v>
      </c>
      <c r="BV27" s="11">
        <f t="shared" si="25"/>
        <v>81.26049903628741</v>
      </c>
      <c r="BW27" s="11">
        <f t="shared" si="26"/>
        <v>6646.410067075915</v>
      </c>
      <c r="BX27" s="11">
        <f t="shared" si="27"/>
        <v>3733.0817385284113</v>
      </c>
      <c r="BY27" s="11">
        <f t="shared" si="28"/>
        <v>2571.474804473374</v>
      </c>
      <c r="BZ27" s="11">
        <f t="shared" si="29"/>
        <v>1003.6699947043836</v>
      </c>
      <c r="CA27" s="11">
        <f t="shared" si="30"/>
        <v>237.88118506357532</v>
      </c>
      <c r="CB27" s="11">
        <f t="shared" si="116"/>
        <v>13139.537921705507</v>
      </c>
      <c r="CC27" s="11">
        <f t="shared" si="31"/>
        <v>1.0267345869748028</v>
      </c>
      <c r="CE27" s="11">
        <f t="shared" si="32"/>
        <v>8840.643654832164</v>
      </c>
      <c r="CF27" s="11">
        <f t="shared" si="33"/>
        <v>1654.7119417753645</v>
      </c>
      <c r="CG27" s="11">
        <f t="shared" si="34"/>
        <v>82.8983087392122</v>
      </c>
      <c r="CH27" s="11">
        <f t="shared" si="35"/>
        <v>-1676.1483620388187</v>
      </c>
      <c r="CI27" s="11">
        <f t="shared" si="36"/>
        <v>5845.175423190709</v>
      </c>
      <c r="CJ27" s="11">
        <f t="shared" si="37"/>
        <v>4405.657303964665</v>
      </c>
      <c r="CK27" s="11">
        <f t="shared" si="38"/>
        <v>862.8780133600001</v>
      </c>
      <c r="CL27" s="11">
        <f t="shared" si="117"/>
        <v>20015.816283823297</v>
      </c>
      <c r="CM27" s="11">
        <f t="shared" si="39"/>
        <v>0.9378719746946234</v>
      </c>
      <c r="CO27" s="11">
        <f t="shared" si="40"/>
        <v>2</v>
      </c>
      <c r="CP27" s="9">
        <f t="shared" si="41"/>
        <v>967.202156015489</v>
      </c>
      <c r="CQ27" s="11">
        <f t="shared" si="147"/>
        <v>0.008619884439333675</v>
      </c>
      <c r="CR27" s="11">
        <f t="shared" si="148"/>
        <v>0.2367260093879767</v>
      </c>
      <c r="CS27" s="11">
        <f t="shared" si="149"/>
        <v>0.7546541061726897</v>
      </c>
      <c r="CT27" s="11">
        <f t="shared" si="118"/>
        <v>1</v>
      </c>
      <c r="CU27" s="11">
        <f t="shared" si="45"/>
        <v>4843.218753622798</v>
      </c>
      <c r="CV27" s="11">
        <f t="shared" si="46"/>
        <v>3030.4214546568337</v>
      </c>
      <c r="CW27" s="11">
        <f t="shared" si="47"/>
        <v>46.921103407617856</v>
      </c>
      <c r="CX27" s="11">
        <f t="shared" si="48"/>
        <v>54.77517461859764</v>
      </c>
      <c r="CY27" s="11">
        <f t="shared" si="49"/>
        <v>98.51399043108655</v>
      </c>
      <c r="CZ27" s="11">
        <f t="shared" si="50"/>
        <v>-397.55276249209504</v>
      </c>
      <c r="DA27" s="11">
        <f t="shared" si="51"/>
        <v>24.20254120333816</v>
      </c>
      <c r="DB27" s="11">
        <f t="shared" si="119"/>
        <v>7700.500255448177</v>
      </c>
      <c r="DC27" s="11">
        <f t="shared" si="120"/>
        <v>0.6167562680478184</v>
      </c>
      <c r="DE27" s="11">
        <f t="shared" si="52"/>
        <v>56.524797438338126</v>
      </c>
      <c r="DF27" s="11">
        <f t="shared" si="53"/>
        <v>-1827.2878006504607</v>
      </c>
      <c r="DG27" s="11">
        <f t="shared" si="54"/>
        <v>2459.697734895289</v>
      </c>
      <c r="DH27" s="11">
        <f t="shared" si="55"/>
        <v>1620.8825936142919</v>
      </c>
      <c r="DI27" s="11">
        <f t="shared" si="56"/>
        <v>6197.279881730443</v>
      </c>
      <c r="DJ27" s="11">
        <f t="shared" si="57"/>
        <v>31756.577527040088</v>
      </c>
      <c r="DK27" s="11">
        <f t="shared" si="58"/>
        <v>1240.5524288259285</v>
      </c>
      <c r="DL27" s="11">
        <f t="shared" si="121"/>
        <v>41504.22716289391</v>
      </c>
      <c r="DM27" s="11">
        <f t="shared" si="122"/>
        <v>1.5028981977458986</v>
      </c>
      <c r="DO27" s="11">
        <f t="shared" si="59"/>
        <v>-512.8842829935295</v>
      </c>
      <c r="DP27" s="11">
        <f t="shared" si="60"/>
        <v>875.6217889242062</v>
      </c>
      <c r="DQ27" s="11">
        <f t="shared" si="61"/>
        <v>-14.86100111369679</v>
      </c>
      <c r="DR27" s="11">
        <f t="shared" si="62"/>
        <v>-16.857540472532325</v>
      </c>
      <c r="DS27" s="11">
        <f t="shared" si="63"/>
        <v>-34.3147102280892</v>
      </c>
      <c r="DT27" s="11">
        <f t="shared" si="64"/>
        <v>131.07070284217173</v>
      </c>
      <c r="DU27" s="11">
        <f t="shared" si="65"/>
        <v>-7.343476894422709</v>
      </c>
      <c r="DV27" s="11">
        <f t="shared" si="123"/>
        <v>420.43148006410735</v>
      </c>
      <c r="DW27" s="11">
        <f t="shared" si="124"/>
        <v>0.7951580408522764</v>
      </c>
      <c r="DY27" s="11">
        <f t="shared" si="66"/>
        <v>1.0901350269537966</v>
      </c>
      <c r="DZ27" s="11">
        <f t="shared" si="67"/>
        <v>0</v>
      </c>
      <c r="EA27" s="11">
        <f>2*H417/101.961278</f>
        <v>0</v>
      </c>
      <c r="EB27" s="11">
        <f t="shared" si="68"/>
        <v>0.0015310440049884197</v>
      </c>
      <c r="EC27" s="11">
        <f t="shared" si="69"/>
        <v>0</v>
      </c>
      <c r="ED27" s="11">
        <f t="shared" si="70"/>
        <v>0.0009924474747174006</v>
      </c>
      <c r="EE27" s="11">
        <f t="shared" si="71"/>
        <v>0.003031524286076031</v>
      </c>
      <c r="EF27" s="11">
        <f t="shared" si="72"/>
        <v>0.08325409135774774</v>
      </c>
      <c r="EG27" s="11">
        <f t="shared" si="73"/>
        <v>0.2654040511274364</v>
      </c>
      <c r="EH27" s="11">
        <f t="shared" si="74"/>
        <v>0</v>
      </c>
      <c r="EI27" s="11">
        <f t="shared" si="125"/>
        <v>1.4443481852047628</v>
      </c>
      <c r="EJ27" s="11"/>
      <c r="EK27" s="11">
        <f t="shared" si="126"/>
        <v>0.7547591627286533</v>
      </c>
      <c r="EL27" s="11">
        <f t="shared" si="75"/>
        <v>0</v>
      </c>
      <c r="EM27" s="11">
        <f t="shared" si="76"/>
        <v>0</v>
      </c>
      <c r="EN27" s="11">
        <f t="shared" si="77"/>
        <v>0.0010600241829994519</v>
      </c>
      <c r="EO27" s="11">
        <f t="shared" si="78"/>
        <v>0</v>
      </c>
      <c r="EP27" s="11">
        <f t="shared" si="79"/>
        <v>0.0006871248116510791</v>
      </c>
      <c r="EQ27" s="11">
        <f t="shared" si="80"/>
        <v>0.002098887454652257</v>
      </c>
      <c r="ER27" s="11">
        <f t="shared" si="81"/>
        <v>0.057641289136902224</v>
      </c>
      <c r="ES27" s="11">
        <f t="shared" si="82"/>
        <v>0.1837535116851416</v>
      </c>
      <c r="ET27" s="11">
        <f t="shared" si="83"/>
        <v>0</v>
      </c>
      <c r="EU27" s="9">
        <f t="shared" si="127"/>
        <v>1</v>
      </c>
      <c r="EV27" s="9">
        <f t="shared" si="128"/>
        <v>0.008619884439333675</v>
      </c>
      <c r="EW27" s="9">
        <f t="shared" si="129"/>
        <v>0.2367260093879767</v>
      </c>
      <c r="EX27" s="9">
        <f t="shared" si="130"/>
        <v>0.7546541061726897</v>
      </c>
      <c r="EZ27" s="11">
        <f t="shared" si="84"/>
        <v>1.0618414461015606</v>
      </c>
      <c r="FA27" s="11">
        <f t="shared" si="85"/>
        <v>0</v>
      </c>
      <c r="FB27" s="11">
        <f t="shared" si="86"/>
        <v>0.45507471964013635</v>
      </c>
      <c r="FC27" s="11">
        <f t="shared" si="87"/>
        <v>0.0012526723677177979</v>
      </c>
      <c r="FD27" s="11">
        <f t="shared" si="88"/>
        <v>0</v>
      </c>
      <c r="FE27" s="11">
        <f t="shared" si="89"/>
        <v>0</v>
      </c>
      <c r="FF27" s="11">
        <f t="shared" si="90"/>
        <v>0.07543145723589183</v>
      </c>
      <c r="FG27" s="11">
        <f t="shared" si="91"/>
        <v>0.2717052128807116</v>
      </c>
      <c r="FH27" s="11">
        <f t="shared" si="92"/>
        <v>0.02930060724446898</v>
      </c>
      <c r="FI27" s="11">
        <f>2*'Plag P-T Results'!AA49/151.9904</f>
        <v>0</v>
      </c>
      <c r="FJ27" s="11">
        <f t="shared" si="131"/>
        <v>1.8946061154704872</v>
      </c>
      <c r="FK27" s="34" t="e">
        <f t="shared" si="132"/>
        <v>#DIV/0!</v>
      </c>
      <c r="FL27" s="11">
        <f t="shared" si="133"/>
        <v>0.5604549871506531</v>
      </c>
      <c r="FM27" s="11">
        <f t="shared" si="93"/>
        <v>0</v>
      </c>
      <c r="FN27" s="11">
        <f t="shared" si="94"/>
        <v>0.24019489640839026</v>
      </c>
      <c r="FO27" s="11">
        <f t="shared" si="95"/>
        <v>0.0006611782562555077</v>
      </c>
      <c r="FP27" s="11">
        <f t="shared" si="96"/>
        <v>0</v>
      </c>
      <c r="FQ27" s="11">
        <f t="shared" si="97"/>
        <v>0</v>
      </c>
      <c r="FR27" s="11">
        <f t="shared" si="98"/>
        <v>0.03981379381178655</v>
      </c>
      <c r="FS27" s="11">
        <f t="shared" si="99"/>
        <v>0.1434098679731323</v>
      </c>
      <c r="FT27" s="11">
        <f t="shared" si="100"/>
        <v>0.015465276399782318</v>
      </c>
      <c r="FU27" s="11">
        <f t="shared" si="101"/>
        <v>0</v>
      </c>
      <c r="FV27" s="11">
        <f t="shared" si="134"/>
        <v>1</v>
      </c>
      <c r="FX27" s="11">
        <f t="shared" si="135"/>
        <v>0.2003825385325461</v>
      </c>
      <c r="FY27" s="11">
        <f t="shared" si="136"/>
        <v>0.7217808363333169</v>
      </c>
      <c r="FZ27" s="11">
        <f t="shared" si="137"/>
        <v>0.07783662513413708</v>
      </c>
      <c r="GA27" s="11">
        <f t="shared" si="138"/>
        <v>1</v>
      </c>
      <c r="GC27" s="11">
        <f t="shared" si="139"/>
        <v>0.32797491630639125</v>
      </c>
      <c r="GD27" s="11">
        <f t="shared" si="140"/>
        <v>457.9899264298483</v>
      </c>
      <c r="GE27" s="11">
        <f t="shared" si="141"/>
        <v>506.9909247798778</v>
      </c>
      <c r="GF27" s="11">
        <f t="shared" si="142"/>
        <v>566.4690921166178</v>
      </c>
      <c r="GG27" s="11">
        <f t="shared" si="143"/>
        <v>618.1429353266889</v>
      </c>
      <c r="GI27" s="11">
        <f t="shared" si="144"/>
        <v>4056.7012277146787</v>
      </c>
      <c r="GJ27" s="11">
        <f t="shared" si="102"/>
        <v>118.59105066402125</v>
      </c>
      <c r="GK27" s="11">
        <f t="shared" si="145"/>
        <v>4.7001319306958385</v>
      </c>
      <c r="GL27" s="11">
        <f t="shared" si="146"/>
        <v>615.1851233420723</v>
      </c>
      <c r="GN27" s="11">
        <f t="shared" si="0"/>
        <v>800</v>
      </c>
    </row>
    <row r="28" spans="1:196" ht="12.75">
      <c r="A28" s="11" t="s">
        <v>79</v>
      </c>
      <c r="B28" s="11" t="s">
        <v>92</v>
      </c>
      <c r="C28" s="50">
        <v>2</v>
      </c>
      <c r="D28" s="9">
        <v>700</v>
      </c>
      <c r="E28" s="11"/>
      <c r="F28" s="49">
        <v>65.3</v>
      </c>
      <c r="G28" s="49"/>
      <c r="H28" s="49">
        <v>18.9</v>
      </c>
      <c r="I28" s="49">
        <v>0</v>
      </c>
      <c r="J28" s="49"/>
      <c r="K28" s="49">
        <v>0</v>
      </c>
      <c r="L28" s="49">
        <v>0.2</v>
      </c>
      <c r="M28" s="49">
        <v>3.54</v>
      </c>
      <c r="N28" s="49">
        <v>10.9</v>
      </c>
      <c r="O28" s="49"/>
      <c r="P28" s="11">
        <f t="shared" si="1"/>
        <v>98.84</v>
      </c>
      <c r="Q28" s="11"/>
      <c r="R28" s="49">
        <v>64.9</v>
      </c>
      <c r="S28" s="49"/>
      <c r="T28" s="49">
        <v>21.7</v>
      </c>
      <c r="U28" s="49">
        <v>0</v>
      </c>
      <c r="V28" s="49"/>
      <c r="W28" s="49">
        <v>0</v>
      </c>
      <c r="X28" s="49">
        <v>2.78</v>
      </c>
      <c r="Y28" s="49">
        <v>9.28</v>
      </c>
      <c r="Z28" s="49">
        <v>1.19</v>
      </c>
      <c r="AA28" s="49"/>
      <c r="AB28" s="11">
        <f t="shared" si="2"/>
        <v>99.85000000000001</v>
      </c>
      <c r="AD28" s="54">
        <f t="shared" si="103"/>
        <v>821.6077445397095</v>
      </c>
      <c r="AE28" s="54">
        <f t="shared" si="104"/>
        <v>716.8307736528379</v>
      </c>
      <c r="AF28" s="54">
        <f t="shared" si="3"/>
        <v>705.6504423703162</v>
      </c>
      <c r="AH28" s="60">
        <f t="shared" si="4"/>
        <v>0.01021243023464316</v>
      </c>
      <c r="AI28" s="60">
        <f t="shared" si="5"/>
        <v>0.32709666631744555</v>
      </c>
      <c r="AJ28" s="60">
        <f t="shared" si="6"/>
        <v>0.6626909034479113</v>
      </c>
      <c r="AK28" s="60"/>
      <c r="AL28" s="60">
        <f t="shared" si="105"/>
        <v>0.13244639392863045</v>
      </c>
      <c r="AM28" s="60">
        <f t="shared" si="106"/>
        <v>0.8000498858400569</v>
      </c>
      <c r="AN28" s="60">
        <f t="shared" si="107"/>
        <v>0.06750372023131261</v>
      </c>
      <c r="AO28" s="57"/>
      <c r="AP28" s="61">
        <f t="shared" si="7"/>
        <v>1.0949578024613933</v>
      </c>
      <c r="AQ28" s="61">
        <f t="shared" si="8"/>
        <v>0.7236111169351777</v>
      </c>
      <c r="AR28" s="61">
        <f t="shared" si="9"/>
        <v>0.7430225332951025</v>
      </c>
      <c r="AS28" s="62"/>
      <c r="AT28" s="61">
        <f t="shared" si="10"/>
        <v>0.7004211148029708</v>
      </c>
      <c r="AU28" s="61">
        <f t="shared" si="11"/>
        <v>0.7844069362235065</v>
      </c>
      <c r="AV28" s="61">
        <f t="shared" si="12"/>
        <v>0.6554337750958229</v>
      </c>
      <c r="AX28" s="63">
        <f t="shared" si="113"/>
        <v>-0.39453668765842254</v>
      </c>
      <c r="AY28" s="63">
        <f t="shared" si="108"/>
        <v>0.06079581928832889</v>
      </c>
      <c r="AZ28" s="63">
        <f t="shared" si="109"/>
        <v>-0.08758875819927958</v>
      </c>
      <c r="BB28" s="11">
        <f t="shared" si="13"/>
        <v>973.15</v>
      </c>
      <c r="BD28" s="9">
        <f t="shared" si="14"/>
        <v>705.6504423703162</v>
      </c>
      <c r="BF28" s="29">
        <f t="shared" si="15"/>
        <v>978.8004423703162</v>
      </c>
      <c r="BG28" s="11">
        <f t="shared" si="110"/>
        <v>0.13244639392863045</v>
      </c>
      <c r="BH28" s="11">
        <f t="shared" si="111"/>
        <v>0.8000498858400569</v>
      </c>
      <c r="BI28" s="11">
        <f t="shared" si="112"/>
        <v>0.06750372023131261</v>
      </c>
      <c r="BJ28" s="11">
        <f t="shared" si="114"/>
        <v>0.9999999999999999</v>
      </c>
      <c r="BK28" s="11">
        <f t="shared" si="16"/>
        <v>332.43315557256625</v>
      </c>
      <c r="BL28" s="11">
        <f t="shared" si="17"/>
        <v>-53.77374970263185</v>
      </c>
      <c r="BM28" s="11">
        <f t="shared" si="18"/>
        <v>-353.1378115445021</v>
      </c>
      <c r="BN28" s="11">
        <f t="shared" si="19"/>
        <v>451.1409358673362</v>
      </c>
      <c r="BO28" s="11">
        <f t="shared" si="20"/>
        <v>-309.1750555738314</v>
      </c>
      <c r="BP28" s="11">
        <f t="shared" si="21"/>
        <v>-190.27336993262827</v>
      </c>
      <c r="BQ28" s="11">
        <f t="shared" si="22"/>
        <v>-37.910973894188416</v>
      </c>
      <c r="BR28" s="11">
        <f t="shared" si="115"/>
        <v>-160.69686920787956</v>
      </c>
      <c r="BS28" s="11">
        <f t="shared" si="23"/>
        <v>0.7844069362235065</v>
      </c>
      <c r="BU28" s="11">
        <f t="shared" si="24"/>
        <v>-1169.9224459930776</v>
      </c>
      <c r="BV28" s="11">
        <f t="shared" si="25"/>
        <v>124.66779478174884</v>
      </c>
      <c r="BW28" s="11">
        <f t="shared" si="26"/>
        <v>5445.824290788916</v>
      </c>
      <c r="BX28" s="11">
        <f t="shared" si="27"/>
        <v>5573.611626343287</v>
      </c>
      <c r="BY28" s="11">
        <f t="shared" si="28"/>
        <v>2164.628566708959</v>
      </c>
      <c r="BZ28" s="11">
        <f t="shared" si="29"/>
        <v>1134.8809614132401</v>
      </c>
      <c r="CA28" s="11">
        <f t="shared" si="30"/>
        <v>280.5233989865325</v>
      </c>
      <c r="CB28" s="11">
        <f t="shared" si="116"/>
        <v>13554.214193029606</v>
      </c>
      <c r="CC28" s="11">
        <f t="shared" si="31"/>
        <v>0.7004211148029708</v>
      </c>
      <c r="CE28" s="11">
        <f t="shared" si="32"/>
        <v>10536.426989201293</v>
      </c>
      <c r="CF28" s="11">
        <f t="shared" si="33"/>
        <v>1454.7459720445504</v>
      </c>
      <c r="CG28" s="11">
        <f t="shared" si="34"/>
        <v>474.78220477842575</v>
      </c>
      <c r="CH28" s="11">
        <f t="shared" si="35"/>
        <v>-1406.2377206267188</v>
      </c>
      <c r="CI28" s="11">
        <f t="shared" si="36"/>
        <v>3734.0571854751674</v>
      </c>
      <c r="CJ28" s="11">
        <f t="shared" si="37"/>
        <v>3057.4919967620035</v>
      </c>
      <c r="CK28" s="11">
        <f t="shared" si="38"/>
        <v>647.6542367230702</v>
      </c>
      <c r="CL28" s="11">
        <f t="shared" si="117"/>
        <v>18498.92086435779</v>
      </c>
      <c r="CM28" s="11">
        <f t="shared" si="39"/>
        <v>0.6554337750958229</v>
      </c>
      <c r="CO28" s="11">
        <f t="shared" si="40"/>
        <v>2</v>
      </c>
      <c r="CP28" s="9">
        <f t="shared" si="41"/>
        <v>978.8004423703162</v>
      </c>
      <c r="CQ28" s="11">
        <f t="shared" si="147"/>
        <v>0.01021243023464316</v>
      </c>
      <c r="CR28" s="11">
        <f t="shared" si="148"/>
        <v>0.32709666631744555</v>
      </c>
      <c r="CS28" s="11">
        <f t="shared" si="149"/>
        <v>0.6626909034479113</v>
      </c>
      <c r="CT28" s="11">
        <f t="shared" si="118"/>
        <v>1</v>
      </c>
      <c r="CU28" s="11">
        <f t="shared" si="45"/>
        <v>5147.750154987173</v>
      </c>
      <c r="CV28" s="11">
        <f t="shared" si="46"/>
        <v>1519.1100303151168</v>
      </c>
      <c r="CW28" s="11">
        <f t="shared" si="47"/>
        <v>32.24637804720908</v>
      </c>
      <c r="CX28" s="11">
        <f t="shared" si="48"/>
        <v>64.3967790847043</v>
      </c>
      <c r="CY28" s="11">
        <f t="shared" si="49"/>
        <v>63.16563502365482</v>
      </c>
      <c r="CZ28" s="11">
        <f t="shared" si="50"/>
        <v>-381.53695647070725</v>
      </c>
      <c r="DA28" s="11">
        <f t="shared" si="51"/>
        <v>16.53663373674622</v>
      </c>
      <c r="DB28" s="11">
        <f t="shared" si="119"/>
        <v>6461.668654723897</v>
      </c>
      <c r="DC28" s="11">
        <f t="shared" si="120"/>
        <v>0.7236111169351777</v>
      </c>
      <c r="DE28" s="11">
        <f t="shared" si="52"/>
        <v>-626.3444976192038</v>
      </c>
      <c r="DF28" s="11">
        <f t="shared" si="53"/>
        <v>-1797.971825675287</v>
      </c>
      <c r="DG28" s="11">
        <f t="shared" si="54"/>
        <v>3015.018855275906</v>
      </c>
      <c r="DH28" s="11">
        <f t="shared" si="55"/>
        <v>2397.9362218599804</v>
      </c>
      <c r="DI28" s="11">
        <f t="shared" si="56"/>
        <v>7318.766768971711</v>
      </c>
      <c r="DJ28" s="11">
        <f t="shared" si="57"/>
        <v>26237.246523085665</v>
      </c>
      <c r="DK28" s="11">
        <f t="shared" si="58"/>
        <v>1500.3704944696165</v>
      </c>
      <c r="DL28" s="11">
        <f t="shared" si="121"/>
        <v>38045.02254036839</v>
      </c>
      <c r="DM28" s="11">
        <f t="shared" si="122"/>
        <v>1.0949578024613933</v>
      </c>
      <c r="DO28" s="11">
        <f t="shared" si="59"/>
        <v>-621.4152146617497</v>
      </c>
      <c r="DP28" s="11">
        <f t="shared" si="60"/>
        <v>1446.2003861067806</v>
      </c>
      <c r="DQ28" s="11">
        <f t="shared" si="61"/>
        <v>-16.35253615366724</v>
      </c>
      <c r="DR28" s="11">
        <f t="shared" si="62"/>
        <v>-31.01500731801388</v>
      </c>
      <c r="DS28" s="11">
        <f t="shared" si="63"/>
        <v>-35.343235553049645</v>
      </c>
      <c r="DT28" s="11">
        <f t="shared" si="64"/>
        <v>196.75287168398432</v>
      </c>
      <c r="DU28" s="11">
        <f t="shared" si="65"/>
        <v>-7.680192760589648</v>
      </c>
      <c r="DV28" s="11">
        <f t="shared" si="123"/>
        <v>931.1470713436948</v>
      </c>
      <c r="DW28" s="11">
        <f t="shared" si="124"/>
        <v>0.7430225332951025</v>
      </c>
      <c r="DY28" s="11">
        <f t="shared" si="66"/>
        <v>1.0868063703829454</v>
      </c>
      <c r="DZ28" s="11">
        <f t="shared" si="67"/>
        <v>0</v>
      </c>
      <c r="EA28" s="11">
        <f>2*H418/101.961278</f>
        <v>0</v>
      </c>
      <c r="EB28" s="11">
        <f t="shared" si="68"/>
        <v>0</v>
      </c>
      <c r="EC28" s="11">
        <f t="shared" si="69"/>
        <v>0</v>
      </c>
      <c r="ED28" s="11">
        <f t="shared" si="70"/>
        <v>0</v>
      </c>
      <c r="EE28" s="11">
        <f t="shared" si="71"/>
        <v>0.003566499160089448</v>
      </c>
      <c r="EF28" s="11">
        <f t="shared" si="72"/>
        <v>0.11423235790946783</v>
      </c>
      <c r="EG28" s="11">
        <f t="shared" si="73"/>
        <v>0.23143233258312457</v>
      </c>
      <c r="EH28" s="11">
        <f t="shared" si="74"/>
        <v>0</v>
      </c>
      <c r="EI28" s="11">
        <f t="shared" si="125"/>
        <v>1.436037560035627</v>
      </c>
      <c r="EJ28" s="11"/>
      <c r="EK28" s="11">
        <f t="shared" si="126"/>
        <v>0.7568091536240755</v>
      </c>
      <c r="EL28" s="11">
        <f t="shared" si="75"/>
        <v>0</v>
      </c>
      <c r="EM28" s="11">
        <f t="shared" si="76"/>
        <v>0</v>
      </c>
      <c r="EN28" s="11">
        <f t="shared" si="77"/>
        <v>0</v>
      </c>
      <c r="EO28" s="11">
        <f t="shared" si="78"/>
        <v>0</v>
      </c>
      <c r="EP28" s="11">
        <f t="shared" si="79"/>
        <v>0</v>
      </c>
      <c r="EQ28" s="11">
        <f t="shared" si="80"/>
        <v>0.0024835695523179532</v>
      </c>
      <c r="ER28" s="11">
        <f t="shared" si="81"/>
        <v>0.079546915128483</v>
      </c>
      <c r="ES28" s="11">
        <f t="shared" si="82"/>
        <v>0.1611603616951237</v>
      </c>
      <c r="ET28" s="11">
        <f t="shared" si="83"/>
        <v>0</v>
      </c>
      <c r="EU28" s="9">
        <f t="shared" si="127"/>
        <v>1.0000000000000002</v>
      </c>
      <c r="EV28" s="9">
        <f t="shared" si="128"/>
        <v>0.01021243023464316</v>
      </c>
      <c r="EW28" s="9">
        <f t="shared" si="129"/>
        <v>0.32709666631744555</v>
      </c>
      <c r="EX28" s="9">
        <f t="shared" si="130"/>
        <v>0.6626909034479113</v>
      </c>
      <c r="EZ28" s="11">
        <f t="shared" si="84"/>
        <v>1.0801490572412429</v>
      </c>
      <c r="FA28" s="11">
        <f t="shared" si="85"/>
        <v>0</v>
      </c>
      <c r="FB28" s="11">
        <f t="shared" si="86"/>
        <v>0.4256517851806448</v>
      </c>
      <c r="FC28" s="11">
        <f t="shared" si="87"/>
        <v>0</v>
      </c>
      <c r="FD28" s="11">
        <f t="shared" si="88"/>
        <v>0</v>
      </c>
      <c r="FE28" s="11">
        <f t="shared" si="89"/>
        <v>0</v>
      </c>
      <c r="FF28" s="11">
        <f t="shared" si="90"/>
        <v>0.04957433832524332</v>
      </c>
      <c r="FG28" s="11">
        <f t="shared" si="91"/>
        <v>0.2994565766666275</v>
      </c>
      <c r="FH28" s="11">
        <f t="shared" si="92"/>
        <v>0.025266465667331945</v>
      </c>
      <c r="FI28" s="11">
        <f>2*'Plag P-T Results'!AA50/151.9904</f>
        <v>0</v>
      </c>
      <c r="FJ28" s="11">
        <f t="shared" si="131"/>
        <v>1.8800982230810905</v>
      </c>
      <c r="FK28" s="34" t="e">
        <f t="shared" si="132"/>
        <v>#DIV/0!</v>
      </c>
      <c r="FL28" s="11">
        <f t="shared" si="133"/>
        <v>0.5745173544556108</v>
      </c>
      <c r="FM28" s="11">
        <f t="shared" si="93"/>
        <v>0</v>
      </c>
      <c r="FN28" s="11">
        <f t="shared" si="94"/>
        <v>0.2263986955336248</v>
      </c>
      <c r="FO28" s="11">
        <f t="shared" si="95"/>
        <v>0</v>
      </c>
      <c r="FP28" s="11">
        <f t="shared" si="96"/>
        <v>0</v>
      </c>
      <c r="FQ28" s="11">
        <f t="shared" si="97"/>
        <v>0</v>
      </c>
      <c r="FR28" s="11">
        <f t="shared" si="98"/>
        <v>0.026367951267993475</v>
      </c>
      <c r="FS28" s="11">
        <f t="shared" si="99"/>
        <v>0.15927709147869965</v>
      </c>
      <c r="FT28" s="11">
        <f t="shared" si="100"/>
        <v>0.013438907264071265</v>
      </c>
      <c r="FU28" s="11">
        <f t="shared" si="101"/>
        <v>0</v>
      </c>
      <c r="FV28" s="11">
        <f t="shared" si="134"/>
        <v>1</v>
      </c>
      <c r="FX28" s="11">
        <f t="shared" si="135"/>
        <v>0.13244639392863045</v>
      </c>
      <c r="FY28" s="11">
        <f t="shared" si="136"/>
        <v>0.8000498858400569</v>
      </c>
      <c r="FZ28" s="11">
        <f t="shared" si="137"/>
        <v>0.06750372023131261</v>
      </c>
      <c r="GA28" s="11">
        <f t="shared" si="138"/>
        <v>0.9999999999999999</v>
      </c>
      <c r="GC28" s="11">
        <f t="shared" si="139"/>
        <v>0.4088453384053573</v>
      </c>
      <c r="GD28" s="11">
        <f t="shared" si="140"/>
        <v>553.0922371240574</v>
      </c>
      <c r="GE28" s="11">
        <f t="shared" si="141"/>
        <v>600.9225342444088</v>
      </c>
      <c r="GF28" s="11">
        <f t="shared" si="142"/>
        <v>659.7891757204111</v>
      </c>
      <c r="GG28" s="11">
        <f t="shared" si="143"/>
        <v>694.1497900086576</v>
      </c>
      <c r="GI28" s="11">
        <f t="shared" si="144"/>
        <v>3262.844659174193</v>
      </c>
      <c r="GJ28" s="11">
        <f t="shared" si="102"/>
        <v>95.37954219781545</v>
      </c>
      <c r="GK28" s="11">
        <f t="shared" si="145"/>
        <v>3.6451820370119816</v>
      </c>
      <c r="GL28" s="11">
        <f t="shared" si="146"/>
        <v>648.1275019940576</v>
      </c>
      <c r="GN28" s="11">
        <f t="shared" si="0"/>
        <v>700</v>
      </c>
    </row>
    <row r="29" spans="1:196" ht="12.75">
      <c r="A29" s="11" t="s">
        <v>79</v>
      </c>
      <c r="B29" s="11" t="s">
        <v>93</v>
      </c>
      <c r="C29" s="50">
        <v>2</v>
      </c>
      <c r="D29" s="9">
        <v>700</v>
      </c>
      <c r="E29" s="11"/>
      <c r="F29" s="49">
        <v>66.4</v>
      </c>
      <c r="G29" s="49"/>
      <c r="H29" s="49">
        <v>18.8</v>
      </c>
      <c r="I29" s="49">
        <v>0.12</v>
      </c>
      <c r="J29" s="49"/>
      <c r="K29" s="49">
        <v>0</v>
      </c>
      <c r="L29" s="49">
        <v>0.25</v>
      </c>
      <c r="M29" s="49">
        <v>3.57</v>
      </c>
      <c r="N29" s="49">
        <v>11.3</v>
      </c>
      <c r="O29" s="49"/>
      <c r="P29" s="11">
        <f t="shared" si="1"/>
        <v>100.44</v>
      </c>
      <c r="Q29" s="11"/>
      <c r="R29" s="49">
        <v>64.9</v>
      </c>
      <c r="S29" s="49"/>
      <c r="T29" s="49">
        <v>22.1</v>
      </c>
      <c r="U29" s="49">
        <v>0.14</v>
      </c>
      <c r="V29" s="49"/>
      <c r="W29" s="49">
        <v>0</v>
      </c>
      <c r="X29" s="49">
        <v>3.18</v>
      </c>
      <c r="Y29" s="49">
        <v>9.07</v>
      </c>
      <c r="Z29" s="49">
        <v>1.21</v>
      </c>
      <c r="AA29" s="49"/>
      <c r="AB29" s="11">
        <f t="shared" si="2"/>
        <v>100.60000000000001</v>
      </c>
      <c r="AD29" s="54">
        <f t="shared" si="103"/>
        <v>844.9236383294088</v>
      </c>
      <c r="AE29" s="54">
        <f t="shared" si="104"/>
        <v>738.6539655683928</v>
      </c>
      <c r="AF29" s="54">
        <f t="shared" si="3"/>
        <v>727.8328741213738</v>
      </c>
      <c r="AH29" s="60">
        <f t="shared" si="4"/>
        <v>0.012398010603580525</v>
      </c>
      <c r="AI29" s="60">
        <f t="shared" si="5"/>
        <v>0.3203715627982744</v>
      </c>
      <c r="AJ29" s="60">
        <f t="shared" si="6"/>
        <v>0.6672304265981451</v>
      </c>
      <c r="AK29" s="60"/>
      <c r="AL29" s="60">
        <f t="shared" si="105"/>
        <v>0.151187903764806</v>
      </c>
      <c r="AM29" s="60">
        <f t="shared" si="106"/>
        <v>0.7803168076008274</v>
      </c>
      <c r="AN29" s="60">
        <f t="shared" si="107"/>
        <v>0.06849528863436657</v>
      </c>
      <c r="AO29" s="57"/>
      <c r="AP29" s="61">
        <f t="shared" si="7"/>
        <v>1.1872324508456085</v>
      </c>
      <c r="AQ29" s="61">
        <f t="shared" si="8"/>
        <v>0.6920618915446075</v>
      </c>
      <c r="AR29" s="61">
        <f t="shared" si="9"/>
        <v>0.7424048826486921</v>
      </c>
      <c r="AS29" s="62"/>
      <c r="AT29" s="61">
        <f t="shared" si="10"/>
        <v>0.7556316839225339</v>
      </c>
      <c r="AU29" s="61">
        <f t="shared" si="11"/>
        <v>0.7643390629932257</v>
      </c>
      <c r="AV29" s="61">
        <f t="shared" si="12"/>
        <v>0.6563507714089293</v>
      </c>
      <c r="AX29" s="63">
        <f t="shared" si="113"/>
        <v>-0.4316007669230746</v>
      </c>
      <c r="AY29" s="63">
        <f t="shared" si="108"/>
        <v>0.07227717144861823</v>
      </c>
      <c r="AZ29" s="63">
        <f t="shared" si="109"/>
        <v>-0.08605411123976281</v>
      </c>
      <c r="BB29" s="11">
        <f t="shared" si="13"/>
        <v>973.15</v>
      </c>
      <c r="BD29" s="9">
        <f t="shared" si="14"/>
        <v>727.8328741213738</v>
      </c>
      <c r="BF29" s="29">
        <f t="shared" si="15"/>
        <v>1000.9828741213738</v>
      </c>
      <c r="BG29" s="11">
        <f t="shared" si="110"/>
        <v>0.151187903764806</v>
      </c>
      <c r="BH29" s="11">
        <f t="shared" si="111"/>
        <v>0.7803168076008274</v>
      </c>
      <c r="BI29" s="11">
        <f t="shared" si="112"/>
        <v>0.06849528863436657</v>
      </c>
      <c r="BJ29" s="11">
        <f t="shared" si="114"/>
        <v>1</v>
      </c>
      <c r="BK29" s="11">
        <f t="shared" si="16"/>
        <v>358.8359042705902</v>
      </c>
      <c r="BL29" s="11">
        <f t="shared" si="17"/>
        <v>-53.63645392918027</v>
      </c>
      <c r="BM29" s="11">
        <f t="shared" si="18"/>
        <v>-418.6187446243893</v>
      </c>
      <c r="BN29" s="11">
        <f t="shared" si="19"/>
        <v>557.9947049914982</v>
      </c>
      <c r="BO29" s="11">
        <f t="shared" si="20"/>
        <v>-365.4110271348863</v>
      </c>
      <c r="BP29" s="11">
        <f t="shared" si="21"/>
        <v>-210.32270841079887</v>
      </c>
      <c r="BQ29" s="11">
        <f t="shared" si="22"/>
        <v>-41.023292438072595</v>
      </c>
      <c r="BR29" s="11">
        <f t="shared" si="115"/>
        <v>-172.1816172752389</v>
      </c>
      <c r="BS29" s="11">
        <f t="shared" si="23"/>
        <v>0.7643390629932257</v>
      </c>
      <c r="BU29" s="11">
        <f t="shared" si="24"/>
        <v>-1129.3079803938822</v>
      </c>
      <c r="BV29" s="11">
        <f t="shared" si="25"/>
        <v>109.74643225318822</v>
      </c>
      <c r="BW29" s="11">
        <f t="shared" si="26"/>
        <v>5830.612547030605</v>
      </c>
      <c r="BX29" s="11">
        <f t="shared" si="27"/>
        <v>5056.646831515016</v>
      </c>
      <c r="BY29" s="11">
        <f t="shared" si="28"/>
        <v>2193.5766897682993</v>
      </c>
      <c r="BZ29" s="11">
        <f t="shared" si="29"/>
        <v>1066.643956210936</v>
      </c>
      <c r="CA29" s="11">
        <f t="shared" si="30"/>
        <v>263.46736470375106</v>
      </c>
      <c r="CB29" s="11">
        <f t="shared" si="116"/>
        <v>13391.385841087911</v>
      </c>
      <c r="CC29" s="11">
        <f t="shared" si="31"/>
        <v>0.7556316839225339</v>
      </c>
      <c r="CE29" s="11">
        <f t="shared" si="32"/>
        <v>10049.791697904777</v>
      </c>
      <c r="CF29" s="11">
        <f t="shared" si="33"/>
        <v>1458.7118267825076</v>
      </c>
      <c r="CG29" s="11">
        <f t="shared" si="34"/>
        <v>405.73359623179056</v>
      </c>
      <c r="CH29" s="11">
        <f t="shared" si="35"/>
        <v>-1519.0644726145822</v>
      </c>
      <c r="CI29" s="11">
        <f t="shared" si="36"/>
        <v>4277.324027899069</v>
      </c>
      <c r="CJ29" s="11">
        <f t="shared" si="37"/>
        <v>3416.5255964304542</v>
      </c>
      <c r="CK29" s="11">
        <f t="shared" si="38"/>
        <v>719.411171730739</v>
      </c>
      <c r="CL29" s="11">
        <f t="shared" si="117"/>
        <v>18808.433444364753</v>
      </c>
      <c r="CM29" s="11">
        <f t="shared" si="39"/>
        <v>0.6563507714089293</v>
      </c>
      <c r="CO29" s="11">
        <f t="shared" si="40"/>
        <v>2</v>
      </c>
      <c r="CP29" s="9">
        <f t="shared" si="41"/>
        <v>1000.9828741213738</v>
      </c>
      <c r="CQ29" s="11">
        <f t="shared" si="147"/>
        <v>0.012398010603580525</v>
      </c>
      <c r="CR29" s="11">
        <f t="shared" si="148"/>
        <v>0.3203715627982744</v>
      </c>
      <c r="CS29" s="11">
        <f t="shared" si="149"/>
        <v>0.6672304265981451</v>
      </c>
      <c r="CT29" s="11">
        <f t="shared" si="118"/>
        <v>1</v>
      </c>
      <c r="CU29" s="11">
        <f t="shared" si="45"/>
        <v>5092.004669445444</v>
      </c>
      <c r="CV29" s="11">
        <f t="shared" si="46"/>
        <v>1564.8102916393505</v>
      </c>
      <c r="CW29" s="11">
        <f t="shared" si="47"/>
        <v>41.046798228216176</v>
      </c>
      <c r="CX29" s="11">
        <f t="shared" si="48"/>
        <v>78.51282880008048</v>
      </c>
      <c r="CY29" s="11">
        <f t="shared" si="49"/>
        <v>77.56291560134966</v>
      </c>
      <c r="CZ29" s="11">
        <f t="shared" si="50"/>
        <v>-464.94240926068</v>
      </c>
      <c r="DA29" s="11">
        <f t="shared" si="51"/>
        <v>20.9993845288377</v>
      </c>
      <c r="DB29" s="11">
        <f t="shared" si="119"/>
        <v>6409.994478982598</v>
      </c>
      <c r="DC29" s="11">
        <f t="shared" si="120"/>
        <v>0.6920618915446075</v>
      </c>
      <c r="DE29" s="11">
        <f t="shared" si="52"/>
        <v>-570.7734226239983</v>
      </c>
      <c r="DF29" s="11">
        <f t="shared" si="53"/>
        <v>-1754.8076168240996</v>
      </c>
      <c r="DG29" s="11">
        <f t="shared" si="54"/>
        <v>2984.986354966729</v>
      </c>
      <c r="DH29" s="11">
        <f t="shared" si="55"/>
        <v>2330.038333206512</v>
      </c>
      <c r="DI29" s="11">
        <f t="shared" si="56"/>
        <v>7301.367016757859</v>
      </c>
      <c r="DJ29" s="11">
        <f t="shared" si="57"/>
        <v>26202.798717158235</v>
      </c>
      <c r="DK29" s="11">
        <f t="shared" si="58"/>
        <v>1472.9869522358993</v>
      </c>
      <c r="DL29" s="11">
        <f t="shared" si="121"/>
        <v>37966.59633487714</v>
      </c>
      <c r="DM29" s="11">
        <f t="shared" si="122"/>
        <v>1.1872324508456085</v>
      </c>
      <c r="DO29" s="11">
        <f t="shared" si="59"/>
        <v>-610.1243670574466</v>
      </c>
      <c r="DP29" s="11">
        <f t="shared" si="60"/>
        <v>1372.6494416127705</v>
      </c>
      <c r="DQ29" s="11">
        <f t="shared" si="61"/>
        <v>-20.314049688672227</v>
      </c>
      <c r="DR29" s="11">
        <f t="shared" si="62"/>
        <v>-36.59719357501423</v>
      </c>
      <c r="DS29" s="11">
        <f t="shared" si="63"/>
        <v>-43.337284314282336</v>
      </c>
      <c r="DT29" s="11">
        <f t="shared" si="64"/>
        <v>235.6224137522933</v>
      </c>
      <c r="DU29" s="11">
        <f t="shared" si="65"/>
        <v>-9.386958322027356</v>
      </c>
      <c r="DV29" s="11">
        <f t="shared" si="123"/>
        <v>888.5120024076211</v>
      </c>
      <c r="DW29" s="11">
        <f t="shared" si="124"/>
        <v>0.7424048826486921</v>
      </c>
      <c r="DY29" s="11">
        <f t="shared" si="66"/>
        <v>1.1051139815226274</v>
      </c>
      <c r="DZ29" s="11">
        <f t="shared" si="67"/>
        <v>0</v>
      </c>
      <c r="EA29" s="11">
        <f>2*H419/101.961278</f>
        <v>0</v>
      </c>
      <c r="EB29" s="11">
        <f t="shared" si="68"/>
        <v>0.0016702298236237305</v>
      </c>
      <c r="EC29" s="11">
        <f t="shared" si="69"/>
        <v>0</v>
      </c>
      <c r="ED29" s="11">
        <f t="shared" si="70"/>
        <v>0</v>
      </c>
      <c r="EE29" s="11">
        <f t="shared" si="71"/>
        <v>0.00445812395011181</v>
      </c>
      <c r="EF29" s="11">
        <f t="shared" si="72"/>
        <v>0.11520042873920908</v>
      </c>
      <c r="EG29" s="11">
        <f t="shared" si="73"/>
        <v>0.23992526221920255</v>
      </c>
      <c r="EH29" s="11">
        <f t="shared" si="74"/>
        <v>0</v>
      </c>
      <c r="EI29" s="11">
        <f t="shared" si="125"/>
        <v>1.4663680262547745</v>
      </c>
      <c r="EJ29" s="11"/>
      <c r="EK29" s="11">
        <f t="shared" si="126"/>
        <v>0.7536402606548781</v>
      </c>
      <c r="EL29" s="11">
        <f t="shared" si="75"/>
        <v>0</v>
      </c>
      <c r="EM29" s="11">
        <f t="shared" si="76"/>
        <v>0</v>
      </c>
      <c r="EN29" s="11">
        <f t="shared" si="77"/>
        <v>0.0011390249880786313</v>
      </c>
      <c r="EO29" s="11">
        <f t="shared" si="78"/>
        <v>0</v>
      </c>
      <c r="EP29" s="11">
        <f t="shared" si="79"/>
        <v>0</v>
      </c>
      <c r="EQ29" s="11">
        <f t="shared" si="80"/>
        <v>0.003040249016816214</v>
      </c>
      <c r="ER29" s="11">
        <f t="shared" si="81"/>
        <v>0.0785617434890752</v>
      </c>
      <c r="ES29" s="11">
        <f t="shared" si="82"/>
        <v>0.1636187218511519</v>
      </c>
      <c r="ET29" s="11">
        <f t="shared" si="83"/>
        <v>0</v>
      </c>
      <c r="EU29" s="9">
        <f t="shared" si="127"/>
        <v>1</v>
      </c>
      <c r="EV29" s="9">
        <f t="shared" si="128"/>
        <v>0.012398010603580525</v>
      </c>
      <c r="EW29" s="9">
        <f t="shared" si="129"/>
        <v>0.3203715627982744</v>
      </c>
      <c r="EX29" s="9">
        <f t="shared" si="130"/>
        <v>0.6672304265981451</v>
      </c>
      <c r="EZ29" s="11">
        <f t="shared" si="84"/>
        <v>1.0801490572412429</v>
      </c>
      <c r="FA29" s="11">
        <f t="shared" si="85"/>
        <v>0</v>
      </c>
      <c r="FB29" s="11">
        <f t="shared" si="86"/>
        <v>0.43349790103650926</v>
      </c>
      <c r="FC29" s="11">
        <f t="shared" si="87"/>
        <v>0.0019486014608943525</v>
      </c>
      <c r="FD29" s="11">
        <f t="shared" si="88"/>
        <v>0</v>
      </c>
      <c r="FE29" s="11">
        <f t="shared" si="89"/>
        <v>0</v>
      </c>
      <c r="FF29" s="11">
        <f t="shared" si="90"/>
        <v>0.05670733664542223</v>
      </c>
      <c r="FG29" s="11">
        <f t="shared" si="91"/>
        <v>0.2926800808584388</v>
      </c>
      <c r="FH29" s="11">
        <f t="shared" si="92"/>
        <v>0.025691112149135845</v>
      </c>
      <c r="FI29" s="11">
        <f>2*'Plag P-T Results'!AA51/151.9904</f>
        <v>0</v>
      </c>
      <c r="FJ29" s="11">
        <f t="shared" si="131"/>
        <v>1.8906740893916432</v>
      </c>
      <c r="FK29" s="34" t="e">
        <f t="shared" si="132"/>
        <v>#DIV/0!</v>
      </c>
      <c r="FL29" s="11">
        <f t="shared" si="133"/>
        <v>0.5713036759226966</v>
      </c>
      <c r="FM29" s="11">
        <f t="shared" si="93"/>
        <v>0</v>
      </c>
      <c r="FN29" s="11">
        <f t="shared" si="94"/>
        <v>0.22928219277389825</v>
      </c>
      <c r="FO29" s="11">
        <f t="shared" si="95"/>
        <v>0.0010306384753605781</v>
      </c>
      <c r="FP29" s="11">
        <f t="shared" si="96"/>
        <v>0</v>
      </c>
      <c r="FQ29" s="11">
        <f t="shared" si="97"/>
        <v>0</v>
      </c>
      <c r="FR29" s="11">
        <f t="shared" si="98"/>
        <v>0.029993184422212497</v>
      </c>
      <c r="FS29" s="11">
        <f t="shared" si="99"/>
        <v>0.15480197380428143</v>
      </c>
      <c r="FT29" s="11">
        <f t="shared" si="100"/>
        <v>0.013588334601550709</v>
      </c>
      <c r="FU29" s="11">
        <f t="shared" si="101"/>
        <v>0</v>
      </c>
      <c r="FV29" s="11">
        <f t="shared" si="134"/>
        <v>1</v>
      </c>
      <c r="FX29" s="11">
        <f t="shared" si="135"/>
        <v>0.151187903764806</v>
      </c>
      <c r="FY29" s="11">
        <f t="shared" si="136"/>
        <v>0.7803168076008274</v>
      </c>
      <c r="FZ29" s="11">
        <f t="shared" si="137"/>
        <v>0.06849528863436657</v>
      </c>
      <c r="GA29" s="11">
        <f t="shared" si="138"/>
        <v>1</v>
      </c>
      <c r="GC29" s="11">
        <f t="shared" si="139"/>
        <v>0.4105660158510402</v>
      </c>
      <c r="GD29" s="11">
        <f t="shared" si="140"/>
        <v>555.145254628759</v>
      </c>
      <c r="GE29" s="11">
        <f t="shared" si="141"/>
        <v>602.9325554834079</v>
      </c>
      <c r="GF29" s="11">
        <f t="shared" si="142"/>
        <v>661.7692607094242</v>
      </c>
      <c r="GG29" s="11">
        <f t="shared" si="143"/>
        <v>695.7241955030742</v>
      </c>
      <c r="GI29" s="11">
        <f t="shared" si="144"/>
        <v>3320.0523134024247</v>
      </c>
      <c r="GJ29" s="11">
        <f t="shared" si="102"/>
        <v>97.05201263833933</v>
      </c>
      <c r="GK29" s="11">
        <f t="shared" si="145"/>
        <v>3.6791699865070244</v>
      </c>
      <c r="GL29" s="11">
        <f t="shared" si="146"/>
        <v>655.6204396841247</v>
      </c>
      <c r="GN29" s="11">
        <f t="shared" si="0"/>
        <v>700</v>
      </c>
    </row>
    <row r="30" spans="1:196" ht="12.75">
      <c r="A30" s="11" t="s">
        <v>79</v>
      </c>
      <c r="B30" s="11" t="s">
        <v>94</v>
      </c>
      <c r="C30" s="50">
        <v>2</v>
      </c>
      <c r="D30" s="9">
        <v>700</v>
      </c>
      <c r="E30" s="11"/>
      <c r="F30" s="49">
        <v>66</v>
      </c>
      <c r="G30" s="49"/>
      <c r="H30" s="49">
        <v>18.7</v>
      </c>
      <c r="I30" s="49">
        <v>0</v>
      </c>
      <c r="J30" s="49"/>
      <c r="K30" s="49">
        <v>0</v>
      </c>
      <c r="L30" s="49">
        <v>0.14</v>
      </c>
      <c r="M30" s="49">
        <v>2.48</v>
      </c>
      <c r="N30" s="49">
        <v>12.7</v>
      </c>
      <c r="O30" s="49"/>
      <c r="P30" s="11">
        <f t="shared" si="1"/>
        <v>100.02000000000001</v>
      </c>
      <c r="Q30" s="11"/>
      <c r="R30" s="49">
        <v>63.5</v>
      </c>
      <c r="S30" s="49"/>
      <c r="T30" s="49">
        <v>23.1</v>
      </c>
      <c r="U30" s="49">
        <v>0</v>
      </c>
      <c r="V30" s="49"/>
      <c r="W30" s="49">
        <v>0</v>
      </c>
      <c r="X30" s="49">
        <v>4.23</v>
      </c>
      <c r="Y30" s="49">
        <v>8.26</v>
      </c>
      <c r="Z30" s="49">
        <v>1.09</v>
      </c>
      <c r="AA30" s="49"/>
      <c r="AB30" s="11">
        <f t="shared" si="2"/>
        <v>100.18</v>
      </c>
      <c r="AD30" s="54">
        <f t="shared" si="103"/>
        <v>776.0775090056129</v>
      </c>
      <c r="AE30" s="54">
        <f t="shared" si="104"/>
        <v>684.6147910035854</v>
      </c>
      <c r="AF30" s="54">
        <f t="shared" si="3"/>
        <v>681.1683388878629</v>
      </c>
      <c r="AH30" s="60">
        <f t="shared" si="4"/>
        <v>0.007088960604203443</v>
      </c>
      <c r="AI30" s="60">
        <f t="shared" si="5"/>
        <v>0.22723747603487007</v>
      </c>
      <c r="AJ30" s="60">
        <f t="shared" si="6"/>
        <v>0.7656735633609265</v>
      </c>
      <c r="AK30" s="60"/>
      <c r="AL30" s="60">
        <f t="shared" si="105"/>
        <v>0.2065953827848256</v>
      </c>
      <c r="AM30" s="60">
        <f t="shared" si="106"/>
        <v>0.730018792400371</v>
      </c>
      <c r="AN30" s="60">
        <f t="shared" si="107"/>
        <v>0.06338582481480333</v>
      </c>
      <c r="AO30" s="57"/>
      <c r="AP30" s="61">
        <f t="shared" si="7"/>
        <v>1.4202609809224036</v>
      </c>
      <c r="AQ30" s="61">
        <f t="shared" si="8"/>
        <v>0.6168033089262116</v>
      </c>
      <c r="AR30" s="61">
        <f t="shared" si="9"/>
        <v>0.8028927905221286</v>
      </c>
      <c r="AS30" s="62"/>
      <c r="AT30" s="61">
        <f t="shared" si="10"/>
        <v>1.0249902413706364</v>
      </c>
      <c r="AU30" s="61">
        <f t="shared" si="11"/>
        <v>0.7142010536917105</v>
      </c>
      <c r="AV30" s="61">
        <f t="shared" si="12"/>
        <v>0.9034122929865591</v>
      </c>
      <c r="AX30" s="63">
        <f t="shared" si="113"/>
        <v>-0.39527073955176717</v>
      </c>
      <c r="AY30" s="63">
        <f t="shared" si="108"/>
        <v>0.0973977447654989</v>
      </c>
      <c r="AZ30" s="63">
        <f t="shared" si="109"/>
        <v>0.10051950246443053</v>
      </c>
      <c r="BB30" s="11">
        <f t="shared" si="13"/>
        <v>973.15</v>
      </c>
      <c r="BD30" s="9">
        <f t="shared" si="14"/>
        <v>681.1683388878629</v>
      </c>
      <c r="BF30" s="29">
        <f t="shared" si="15"/>
        <v>954.3183388878629</v>
      </c>
      <c r="BG30" s="11">
        <f t="shared" si="110"/>
        <v>0.2065953827848256</v>
      </c>
      <c r="BH30" s="11">
        <f t="shared" si="111"/>
        <v>0.730018792400371</v>
      </c>
      <c r="BI30" s="11">
        <f t="shared" si="112"/>
        <v>0.06338582481480333</v>
      </c>
      <c r="BJ30" s="11">
        <f t="shared" si="114"/>
        <v>1</v>
      </c>
      <c r="BK30" s="11">
        <f t="shared" si="16"/>
        <v>389.5847489639336</v>
      </c>
      <c r="BL30" s="11">
        <f t="shared" si="17"/>
        <v>-49.49734407156999</v>
      </c>
      <c r="BM30" s="11">
        <f t="shared" si="18"/>
        <v>-607.9346099189651</v>
      </c>
      <c r="BN30" s="11">
        <f t="shared" si="19"/>
        <v>888.1021879623961</v>
      </c>
      <c r="BO30" s="11">
        <f t="shared" si="20"/>
        <v>-521.6649218127045</v>
      </c>
      <c r="BP30" s="11">
        <f t="shared" si="21"/>
        <v>-229.83555983312544</v>
      </c>
      <c r="BQ30" s="11">
        <f t="shared" si="22"/>
        <v>-42.56765293843945</v>
      </c>
      <c r="BR30" s="11">
        <f t="shared" si="115"/>
        <v>-173.8131516484748</v>
      </c>
      <c r="BS30" s="11">
        <f t="shared" si="23"/>
        <v>0.7142010536917105</v>
      </c>
      <c r="BU30" s="11">
        <f t="shared" si="24"/>
        <v>-957.1150205843517</v>
      </c>
      <c r="BV30" s="11">
        <f t="shared" si="25"/>
        <v>78.52191757089372</v>
      </c>
      <c r="BW30" s="11">
        <f t="shared" si="26"/>
        <v>6788.654280182542</v>
      </c>
      <c r="BX30" s="11">
        <f t="shared" si="27"/>
        <v>3695.1711116007605</v>
      </c>
      <c r="BY30" s="11">
        <f t="shared" si="28"/>
        <v>2127.808405911102</v>
      </c>
      <c r="BZ30" s="11">
        <f t="shared" si="29"/>
        <v>783.8355509864774</v>
      </c>
      <c r="CA30" s="11">
        <f t="shared" si="30"/>
        <v>191.86544210259325</v>
      </c>
      <c r="CB30" s="11">
        <f t="shared" si="116"/>
        <v>12708.741687770018</v>
      </c>
      <c r="CC30" s="11">
        <f t="shared" si="31"/>
        <v>1.0249902413706364</v>
      </c>
      <c r="CE30" s="11">
        <f t="shared" si="32"/>
        <v>9418.36551472889</v>
      </c>
      <c r="CF30" s="11">
        <f t="shared" si="33"/>
        <v>1553.3041251985912</v>
      </c>
      <c r="CG30" s="11">
        <f t="shared" si="34"/>
        <v>94.82983543807471</v>
      </c>
      <c r="CH30" s="11">
        <f t="shared" si="35"/>
        <v>-1747.9256003324615</v>
      </c>
      <c r="CI30" s="11">
        <f t="shared" si="36"/>
        <v>6386.614129585087</v>
      </c>
      <c r="CJ30" s="11">
        <f t="shared" si="37"/>
        <v>4445.9318266130085</v>
      </c>
      <c r="CK30" s="11">
        <f t="shared" si="38"/>
        <v>930.5851362144441</v>
      </c>
      <c r="CL30" s="11">
        <f t="shared" si="117"/>
        <v>21081.704967445636</v>
      </c>
      <c r="CM30" s="11">
        <f t="shared" si="39"/>
        <v>0.9034122929865591</v>
      </c>
      <c r="CO30" s="11">
        <f t="shared" si="40"/>
        <v>2</v>
      </c>
      <c r="CP30" s="9">
        <f t="shared" si="41"/>
        <v>954.3183388878629</v>
      </c>
      <c r="CQ30" s="11">
        <f t="shared" si="147"/>
        <v>0.007088960604203443</v>
      </c>
      <c r="CR30" s="11">
        <f t="shared" si="148"/>
        <v>0.22723747603487007</v>
      </c>
      <c r="CS30" s="11">
        <f t="shared" si="149"/>
        <v>0.7656735633609265</v>
      </c>
      <c r="CT30" s="11">
        <f t="shared" si="118"/>
        <v>1</v>
      </c>
      <c r="CU30" s="11">
        <f t="shared" si="45"/>
        <v>4793.888051074994</v>
      </c>
      <c r="CV30" s="11">
        <f t="shared" si="46"/>
        <v>3271.9871811292674</v>
      </c>
      <c r="CW30" s="11">
        <f t="shared" si="47"/>
        <v>40.47803289878697</v>
      </c>
      <c r="CX30" s="11">
        <f t="shared" si="48"/>
        <v>44.95944732658931</v>
      </c>
      <c r="CY30" s="11">
        <f t="shared" si="49"/>
        <v>86.92711470819398</v>
      </c>
      <c r="CZ30" s="11">
        <f t="shared" si="50"/>
        <v>-336.0468924419858</v>
      </c>
      <c r="DA30" s="11">
        <f t="shared" si="51"/>
        <v>20.922546628081154</v>
      </c>
      <c r="DB30" s="11">
        <f t="shared" si="119"/>
        <v>7923.115481323929</v>
      </c>
      <c r="DC30" s="11">
        <f t="shared" si="120"/>
        <v>0.6168033089262116</v>
      </c>
      <c r="DE30" s="11">
        <f t="shared" si="52"/>
        <v>118.56772353519689</v>
      </c>
      <c r="DF30" s="11">
        <f t="shared" si="53"/>
        <v>-1839.9548384377918</v>
      </c>
      <c r="DG30" s="11">
        <f t="shared" si="54"/>
        <v>2388.0137970065803</v>
      </c>
      <c r="DH30" s="11">
        <f t="shared" si="55"/>
        <v>1547.6549558454801</v>
      </c>
      <c r="DI30" s="11">
        <f t="shared" si="56"/>
        <v>5979.080633092092</v>
      </c>
      <c r="DJ30" s="11">
        <f t="shared" si="57"/>
        <v>32648.761975340578</v>
      </c>
      <c r="DK30" s="11">
        <f t="shared" si="58"/>
        <v>1211.9809198633718</v>
      </c>
      <c r="DL30" s="11">
        <f t="shared" si="121"/>
        <v>42054.105166245514</v>
      </c>
      <c r="DM30" s="11">
        <f t="shared" si="122"/>
        <v>1.4202609809224036</v>
      </c>
      <c r="DO30" s="11">
        <f t="shared" si="59"/>
        <v>-494.04197006819993</v>
      </c>
      <c r="DP30" s="11">
        <f t="shared" si="60"/>
        <v>826.0251565176197</v>
      </c>
      <c r="DQ30" s="11">
        <f t="shared" si="61"/>
        <v>-12.10125373849279</v>
      </c>
      <c r="DR30" s="11">
        <f t="shared" si="62"/>
        <v>-13.137040373030311</v>
      </c>
      <c r="DS30" s="11">
        <f t="shared" si="63"/>
        <v>-28.159326098130993</v>
      </c>
      <c r="DT30" s="11">
        <f t="shared" si="64"/>
        <v>104.07968151370194</v>
      </c>
      <c r="DU30" s="11">
        <f t="shared" si="65"/>
        <v>-6.048037694391624</v>
      </c>
      <c r="DV30" s="11">
        <f t="shared" si="123"/>
        <v>376.61721005907606</v>
      </c>
      <c r="DW30" s="11">
        <f t="shared" si="124"/>
        <v>0.8028927905221286</v>
      </c>
      <c r="DY30" s="11">
        <f t="shared" si="66"/>
        <v>1.098456668380925</v>
      </c>
      <c r="DZ30" s="11">
        <f t="shared" si="67"/>
        <v>0</v>
      </c>
      <c r="EA30" s="11">
        <f>2*H420/101.961278</f>
        <v>0</v>
      </c>
      <c r="EB30" s="11">
        <f t="shared" si="68"/>
        <v>0</v>
      </c>
      <c r="EC30" s="11">
        <f t="shared" si="69"/>
        <v>0</v>
      </c>
      <c r="ED30" s="11">
        <f t="shared" si="70"/>
        <v>0</v>
      </c>
      <c r="EE30" s="11">
        <f t="shared" si="71"/>
        <v>0.002496549412062614</v>
      </c>
      <c r="EF30" s="11">
        <f t="shared" si="72"/>
        <v>0.08002718859194356</v>
      </c>
      <c r="EG30" s="11">
        <f t="shared" si="73"/>
        <v>0.2696505159454754</v>
      </c>
      <c r="EH30" s="11">
        <f t="shared" si="74"/>
        <v>0</v>
      </c>
      <c r="EI30" s="11">
        <f t="shared" si="125"/>
        <v>1.4506309223304064</v>
      </c>
      <c r="EJ30" s="11"/>
      <c r="EK30" s="11">
        <f t="shared" si="126"/>
        <v>0.7572268393508934</v>
      </c>
      <c r="EL30" s="11">
        <f t="shared" si="75"/>
        <v>0</v>
      </c>
      <c r="EM30" s="11">
        <f t="shared" si="76"/>
        <v>0</v>
      </c>
      <c r="EN30" s="11">
        <f t="shared" si="77"/>
        <v>0</v>
      </c>
      <c r="EO30" s="11">
        <f t="shared" si="78"/>
        <v>0</v>
      </c>
      <c r="EP30" s="11">
        <f t="shared" si="79"/>
        <v>0</v>
      </c>
      <c r="EQ30" s="11">
        <f t="shared" si="80"/>
        <v>0.0017210093715994712</v>
      </c>
      <c r="ER30" s="11">
        <f t="shared" si="81"/>
        <v>0.055167160274911045</v>
      </c>
      <c r="ES30" s="11">
        <f t="shared" si="82"/>
        <v>0.1858849910025962</v>
      </c>
      <c r="ET30" s="11">
        <f t="shared" si="83"/>
        <v>0</v>
      </c>
      <c r="EU30" s="9">
        <f t="shared" si="127"/>
        <v>1.0000000000000002</v>
      </c>
      <c r="EV30" s="9">
        <f t="shared" si="128"/>
        <v>0.007088960604203443</v>
      </c>
      <c r="EW30" s="9">
        <f t="shared" si="129"/>
        <v>0.22723747603487007</v>
      </c>
      <c r="EX30" s="9">
        <f t="shared" si="130"/>
        <v>0.7656735633609265</v>
      </c>
      <c r="EZ30" s="11">
        <f t="shared" si="84"/>
        <v>1.0568484612452838</v>
      </c>
      <c r="FA30" s="11">
        <f t="shared" si="85"/>
        <v>0</v>
      </c>
      <c r="FB30" s="11">
        <f t="shared" si="86"/>
        <v>0.4531131906761703</v>
      </c>
      <c r="FC30" s="11">
        <f t="shared" si="87"/>
        <v>0</v>
      </c>
      <c r="FD30" s="11">
        <f t="shared" si="88"/>
        <v>0</v>
      </c>
      <c r="FE30" s="11">
        <f t="shared" si="89"/>
        <v>0</v>
      </c>
      <c r="FF30" s="11">
        <f t="shared" si="90"/>
        <v>0.07543145723589183</v>
      </c>
      <c r="FG30" s="11">
        <f t="shared" si="91"/>
        <v>0.26654216845542494</v>
      </c>
      <c r="FH30" s="11">
        <f t="shared" si="92"/>
        <v>0.023143233258312457</v>
      </c>
      <c r="FI30" s="11">
        <f>2*'Plag P-T Results'!AA52/151.9904</f>
        <v>0</v>
      </c>
      <c r="FJ30" s="11">
        <f t="shared" si="131"/>
        <v>1.8750785108710832</v>
      </c>
      <c r="FK30" s="34" t="e">
        <f t="shared" si="132"/>
        <v>#DIV/0!</v>
      </c>
      <c r="FL30" s="11">
        <f t="shared" si="133"/>
        <v>0.5636289121324931</v>
      </c>
      <c r="FM30" s="11">
        <f t="shared" si="93"/>
        <v>0</v>
      </c>
      <c r="FN30" s="11">
        <f t="shared" si="94"/>
        <v>0.2416502498690963</v>
      </c>
      <c r="FO30" s="11">
        <f t="shared" si="95"/>
        <v>0</v>
      </c>
      <c r="FP30" s="11">
        <f t="shared" si="96"/>
        <v>0</v>
      </c>
      <c r="FQ30" s="11">
        <f t="shared" si="97"/>
        <v>0</v>
      </c>
      <c r="FR30" s="11">
        <f t="shared" si="98"/>
        <v>0.04022842606246366</v>
      </c>
      <c r="FS30" s="11">
        <f t="shared" si="99"/>
        <v>0.14214987101078802</v>
      </c>
      <c r="FT30" s="11">
        <f t="shared" si="100"/>
        <v>0.012342540925158955</v>
      </c>
      <c r="FU30" s="11">
        <f t="shared" si="101"/>
        <v>0</v>
      </c>
      <c r="FV30" s="11">
        <f t="shared" si="134"/>
        <v>1</v>
      </c>
      <c r="FX30" s="11">
        <f t="shared" si="135"/>
        <v>0.2065953827848256</v>
      </c>
      <c r="FY30" s="11">
        <f t="shared" si="136"/>
        <v>0.730018792400371</v>
      </c>
      <c r="FZ30" s="11">
        <f t="shared" si="137"/>
        <v>0.06338582481480333</v>
      </c>
      <c r="GA30" s="11">
        <f t="shared" si="138"/>
        <v>1</v>
      </c>
      <c r="GC30" s="11">
        <f t="shared" si="139"/>
        <v>0.3112762005587441</v>
      </c>
      <c r="GD30" s="11">
        <f t="shared" si="140"/>
        <v>438.5667594814008</v>
      </c>
      <c r="GE30" s="11">
        <f t="shared" si="141"/>
        <v>487.60709989568295</v>
      </c>
      <c r="GF30" s="11">
        <f t="shared" si="142"/>
        <v>547.0175715717635</v>
      </c>
      <c r="GG30" s="11">
        <f t="shared" si="143"/>
        <v>601.84154312496</v>
      </c>
      <c r="GI30" s="11">
        <f t="shared" si="144"/>
        <v>4142.962993911529</v>
      </c>
      <c r="GJ30" s="11">
        <f t="shared" si="102"/>
        <v>121.11364417543257</v>
      </c>
      <c r="GK30" s="11">
        <f t="shared" si="145"/>
        <v>4.874921308172968</v>
      </c>
      <c r="GL30" s="11">
        <f t="shared" si="146"/>
        <v>601.5465065750078</v>
      </c>
      <c r="GN30" s="11">
        <f t="shared" si="0"/>
        <v>700</v>
      </c>
    </row>
    <row r="31" spans="1:196" ht="12.75">
      <c r="A31" s="11" t="s">
        <v>79</v>
      </c>
      <c r="B31" s="11" t="s">
        <v>95</v>
      </c>
      <c r="C31" s="50">
        <v>2</v>
      </c>
      <c r="D31" s="9">
        <v>700</v>
      </c>
      <c r="E31" s="11"/>
      <c r="F31" s="49">
        <v>65.9</v>
      </c>
      <c r="G31" s="49"/>
      <c r="H31" s="49">
        <v>18.6</v>
      </c>
      <c r="I31" s="49">
        <v>0.11</v>
      </c>
      <c r="J31" s="49"/>
      <c r="K31" s="49">
        <v>0</v>
      </c>
      <c r="L31" s="49">
        <v>0.1</v>
      </c>
      <c r="M31" s="49">
        <v>2.54</v>
      </c>
      <c r="N31" s="49">
        <v>12.7</v>
      </c>
      <c r="O31" s="49"/>
      <c r="P31" s="11">
        <f t="shared" si="1"/>
        <v>99.95</v>
      </c>
      <c r="Q31" s="11"/>
      <c r="R31" s="49">
        <v>64.7</v>
      </c>
      <c r="S31" s="49"/>
      <c r="T31" s="49">
        <v>22.3</v>
      </c>
      <c r="U31" s="49">
        <v>0.06</v>
      </c>
      <c r="V31" s="49"/>
      <c r="W31" s="49">
        <v>0</v>
      </c>
      <c r="X31" s="49">
        <v>3.41</v>
      </c>
      <c r="Y31" s="49">
        <v>8.69</v>
      </c>
      <c r="Z31" s="49">
        <v>1.03</v>
      </c>
      <c r="AA31" s="49"/>
      <c r="AB31" s="11">
        <f t="shared" si="2"/>
        <v>100.19</v>
      </c>
      <c r="AD31" s="54">
        <f t="shared" si="103"/>
        <v>721.6668545519461</v>
      </c>
      <c r="AE31" s="54">
        <f t="shared" si="104"/>
        <v>644.0123310197283</v>
      </c>
      <c r="AF31" s="54">
        <f t="shared" si="3"/>
        <v>639.9224005746668</v>
      </c>
      <c r="AH31" s="60">
        <f t="shared" si="4"/>
        <v>0.005046022169832031</v>
      </c>
      <c r="AI31" s="60">
        <f t="shared" si="5"/>
        <v>0.23192983539162673</v>
      </c>
      <c r="AJ31" s="60">
        <f t="shared" si="6"/>
        <v>0.7630241424385412</v>
      </c>
      <c r="AK31" s="60"/>
      <c r="AL31" s="60">
        <f t="shared" si="105"/>
        <v>0.16747311521601874</v>
      </c>
      <c r="AM31" s="60">
        <f t="shared" si="106"/>
        <v>0.7722968174385908</v>
      </c>
      <c r="AN31" s="60">
        <f t="shared" si="107"/>
        <v>0.060230067345390464</v>
      </c>
      <c r="AO31" s="57"/>
      <c r="AP31" s="61">
        <f t="shared" si="7"/>
        <v>1.3436739613642081</v>
      </c>
      <c r="AQ31" s="61">
        <f t="shared" si="8"/>
        <v>0.6768574036063566</v>
      </c>
      <c r="AR31" s="61">
        <f t="shared" si="9"/>
        <v>0.8048450463230122</v>
      </c>
      <c r="AS31" s="62"/>
      <c r="AT31" s="61">
        <f t="shared" si="10"/>
        <v>0.9419068940771468</v>
      </c>
      <c r="AU31" s="61">
        <f t="shared" si="11"/>
        <v>0.7526218420911273</v>
      </c>
      <c r="AV31" s="61">
        <f t="shared" si="12"/>
        <v>0.8929833094799395</v>
      </c>
      <c r="AX31" s="63">
        <f t="shared" si="113"/>
        <v>-0.40176706728706135</v>
      </c>
      <c r="AY31" s="63">
        <f t="shared" si="108"/>
        <v>0.07576443848477066</v>
      </c>
      <c r="AZ31" s="63">
        <f t="shared" si="109"/>
        <v>0.0881382631569273</v>
      </c>
      <c r="BB31" s="11">
        <f t="shared" si="13"/>
        <v>973.15</v>
      </c>
      <c r="BD31" s="9">
        <f t="shared" si="14"/>
        <v>639.9224005746668</v>
      </c>
      <c r="BF31" s="29">
        <f t="shared" si="15"/>
        <v>913.0724005746667</v>
      </c>
      <c r="BG31" s="11">
        <f t="shared" si="110"/>
        <v>0.16747311521601874</v>
      </c>
      <c r="BH31" s="11">
        <f t="shared" si="111"/>
        <v>0.7722968174385908</v>
      </c>
      <c r="BI31" s="11">
        <f t="shared" si="112"/>
        <v>0.060230067345390464</v>
      </c>
      <c r="BJ31" s="11">
        <f t="shared" si="114"/>
        <v>1</v>
      </c>
      <c r="BK31" s="11">
        <f t="shared" si="16"/>
        <v>331.67172736384936</v>
      </c>
      <c r="BL31" s="11">
        <f t="shared" si="17"/>
        <v>-50.13475612262594</v>
      </c>
      <c r="BM31" s="11">
        <f t="shared" si="18"/>
        <v>-487.09237336153933</v>
      </c>
      <c r="BN31" s="11">
        <f t="shared" si="19"/>
        <v>631.9825566578643</v>
      </c>
      <c r="BO31" s="11">
        <f t="shared" si="20"/>
        <v>-386.8092565680082</v>
      </c>
      <c r="BP31" s="11">
        <f t="shared" si="21"/>
        <v>-196.71296066464726</v>
      </c>
      <c r="BQ31" s="11">
        <f t="shared" si="22"/>
        <v>-38.815451459324414</v>
      </c>
      <c r="BR31" s="11">
        <f t="shared" si="115"/>
        <v>-195.91051415443152</v>
      </c>
      <c r="BS31" s="11">
        <f t="shared" si="23"/>
        <v>0.7526218420911273</v>
      </c>
      <c r="BU31" s="11">
        <f t="shared" si="24"/>
        <v>-1014.2539265657084</v>
      </c>
      <c r="BV31" s="11">
        <f t="shared" si="25"/>
        <v>104.72764752507297</v>
      </c>
      <c r="BW31" s="11">
        <f t="shared" si="26"/>
        <v>6238.981117902908</v>
      </c>
      <c r="BX31" s="11">
        <f t="shared" si="27"/>
        <v>4638.246850602246</v>
      </c>
      <c r="BY31" s="11">
        <f t="shared" si="28"/>
        <v>2037.4145127531954</v>
      </c>
      <c r="BZ31" s="11">
        <f t="shared" si="29"/>
        <v>887.818109599746</v>
      </c>
      <c r="CA31" s="11">
        <f t="shared" si="30"/>
        <v>218.5888405322719</v>
      </c>
      <c r="CB31" s="11">
        <f t="shared" si="116"/>
        <v>13111.523152349733</v>
      </c>
      <c r="CC31" s="11">
        <f t="shared" si="31"/>
        <v>0.9419068940771468</v>
      </c>
      <c r="CE31" s="11">
        <f t="shared" si="32"/>
        <v>10460.514294585597</v>
      </c>
      <c r="CF31" s="11">
        <f t="shared" si="33"/>
        <v>1532.0709266787571</v>
      </c>
      <c r="CG31" s="11">
        <f t="shared" si="34"/>
        <v>366.4558132624964</v>
      </c>
      <c r="CH31" s="11">
        <f t="shared" si="35"/>
        <v>-1608.1918106170292</v>
      </c>
      <c r="CI31" s="11">
        <f t="shared" si="36"/>
        <v>5149.789215847371</v>
      </c>
      <c r="CJ31" s="11">
        <f t="shared" si="37"/>
        <v>3765.636124505288</v>
      </c>
      <c r="CK31" s="11">
        <f t="shared" si="38"/>
        <v>803.8194411337279</v>
      </c>
      <c r="CL31" s="11">
        <f t="shared" si="117"/>
        <v>20470.09400539621</v>
      </c>
      <c r="CM31" s="11">
        <f t="shared" si="39"/>
        <v>0.8929833094799395</v>
      </c>
      <c r="CO31" s="11">
        <f t="shared" si="40"/>
        <v>2</v>
      </c>
      <c r="CP31" s="9">
        <f t="shared" si="41"/>
        <v>913.0724005746667</v>
      </c>
      <c r="CQ31" s="11">
        <f t="shared" si="147"/>
        <v>0.005046022169832031</v>
      </c>
      <c r="CR31" s="11">
        <f t="shared" si="148"/>
        <v>0.23192983539162673</v>
      </c>
      <c r="CS31" s="11">
        <f t="shared" si="149"/>
        <v>0.7630241424385412</v>
      </c>
      <c r="CT31" s="11">
        <f t="shared" si="118"/>
        <v>1</v>
      </c>
      <c r="CU31" s="11">
        <f t="shared" si="45"/>
        <v>4909.012461549829</v>
      </c>
      <c r="CV31" s="11">
        <f t="shared" si="46"/>
        <v>3324.9098573859847</v>
      </c>
      <c r="CW31" s="11">
        <f t="shared" si="47"/>
        <v>28.266704494167442</v>
      </c>
      <c r="CX31" s="11">
        <f t="shared" si="48"/>
        <v>31.848484525383775</v>
      </c>
      <c r="CY31" s="11">
        <f t="shared" si="49"/>
        <v>62.72579395836863</v>
      </c>
      <c r="CZ31" s="11">
        <f t="shared" si="50"/>
        <v>-240.4978329360535</v>
      </c>
      <c r="DA31" s="11">
        <f t="shared" si="51"/>
        <v>14.586111983871588</v>
      </c>
      <c r="DB31" s="11">
        <f t="shared" si="119"/>
        <v>8130.851580961552</v>
      </c>
      <c r="DC31" s="11">
        <f t="shared" si="120"/>
        <v>0.6768574036063566</v>
      </c>
      <c r="DE31" s="11">
        <f t="shared" si="52"/>
        <v>98.99160098014667</v>
      </c>
      <c r="DF31" s="11">
        <f t="shared" si="53"/>
        <v>-1937.244611494311</v>
      </c>
      <c r="DG31" s="11">
        <f t="shared" si="54"/>
        <v>2430.460163434922</v>
      </c>
      <c r="DH31" s="11">
        <f t="shared" si="55"/>
        <v>1585.0406142764484</v>
      </c>
      <c r="DI31" s="11">
        <f t="shared" si="56"/>
        <v>6015.240409801182</v>
      </c>
      <c r="DJ31" s="11">
        <f t="shared" si="57"/>
        <v>32966.07254793255</v>
      </c>
      <c r="DK31" s="11">
        <f t="shared" si="58"/>
        <v>1237.8366776841992</v>
      </c>
      <c r="DL31" s="11">
        <f t="shared" si="121"/>
        <v>42396.39740261514</v>
      </c>
      <c r="DM31" s="11">
        <f t="shared" si="122"/>
        <v>1.3436739613642081</v>
      </c>
      <c r="DO31" s="11">
        <f t="shared" si="59"/>
        <v>-514.58877051667</v>
      </c>
      <c r="DP31" s="11">
        <f t="shared" si="60"/>
        <v>887.2037234758404</v>
      </c>
      <c r="DQ31" s="11">
        <f t="shared" si="61"/>
        <v>-8.6394479300099</v>
      </c>
      <c r="DR31" s="11">
        <f t="shared" si="62"/>
        <v>-9.573842779788125</v>
      </c>
      <c r="DS31" s="11">
        <f t="shared" si="63"/>
        <v>-20.2850114276831</v>
      </c>
      <c r="DT31" s="11">
        <f t="shared" si="64"/>
        <v>75.32464754711081</v>
      </c>
      <c r="DU31" s="11">
        <f t="shared" si="65"/>
        <v>-4.350157850284188</v>
      </c>
      <c r="DV31" s="11">
        <f t="shared" si="123"/>
        <v>405.0911405185159</v>
      </c>
      <c r="DW31" s="11">
        <f t="shared" si="124"/>
        <v>0.8048450463230122</v>
      </c>
      <c r="DY31" s="11">
        <f t="shared" si="66"/>
        <v>1.0967923400954993</v>
      </c>
      <c r="DZ31" s="11">
        <f t="shared" si="67"/>
        <v>0</v>
      </c>
      <c r="EA31" s="11">
        <f>2*H421/101.961278</f>
        <v>0</v>
      </c>
      <c r="EB31" s="11">
        <f t="shared" si="68"/>
        <v>0.0015310440049884197</v>
      </c>
      <c r="EC31" s="11">
        <f t="shared" si="69"/>
        <v>0</v>
      </c>
      <c r="ED31" s="11">
        <f t="shared" si="70"/>
        <v>0</v>
      </c>
      <c r="EE31" s="11">
        <f t="shared" si="71"/>
        <v>0.001783249580044724</v>
      </c>
      <c r="EF31" s="11">
        <f t="shared" si="72"/>
        <v>0.08196333025142608</v>
      </c>
      <c r="EG31" s="11">
        <f t="shared" si="73"/>
        <v>0.2696505159454754</v>
      </c>
      <c r="EH31" s="11">
        <f t="shared" si="74"/>
        <v>0</v>
      </c>
      <c r="EI31" s="11">
        <f t="shared" si="125"/>
        <v>1.451720479877434</v>
      </c>
      <c r="EJ31" s="11"/>
      <c r="EK31" s="11">
        <f t="shared" si="126"/>
        <v>0.7555120667499983</v>
      </c>
      <c r="EL31" s="11">
        <f t="shared" si="75"/>
        <v>0</v>
      </c>
      <c r="EM31" s="11">
        <f t="shared" si="76"/>
        <v>0</v>
      </c>
      <c r="EN31" s="11">
        <f t="shared" si="77"/>
        <v>0.0010546410457181695</v>
      </c>
      <c r="EO31" s="11">
        <f t="shared" si="78"/>
        <v>0</v>
      </c>
      <c r="EP31" s="11">
        <f t="shared" si="79"/>
        <v>0</v>
      </c>
      <c r="EQ31" s="11">
        <f t="shared" si="80"/>
        <v>0.001228369789338014</v>
      </c>
      <c r="ER31" s="11">
        <f t="shared" si="81"/>
        <v>0.05645944338978127</v>
      </c>
      <c r="ES31" s="11">
        <f t="shared" si="82"/>
        <v>0.18574547902516433</v>
      </c>
      <c r="ET31" s="11">
        <f t="shared" si="83"/>
        <v>0</v>
      </c>
      <c r="EU31" s="9">
        <f t="shared" si="127"/>
        <v>1</v>
      </c>
      <c r="EV31" s="9">
        <f t="shared" si="128"/>
        <v>0.005046022169832031</v>
      </c>
      <c r="EW31" s="9">
        <f t="shared" si="129"/>
        <v>0.23192983539162673</v>
      </c>
      <c r="EX31" s="9">
        <f t="shared" si="130"/>
        <v>0.7630241424385412</v>
      </c>
      <c r="EZ31" s="11">
        <f t="shared" si="84"/>
        <v>1.0768204006703914</v>
      </c>
      <c r="FA31" s="11">
        <f t="shared" si="85"/>
        <v>0</v>
      </c>
      <c r="FB31" s="11">
        <f t="shared" si="86"/>
        <v>0.43742095896444144</v>
      </c>
      <c r="FC31" s="11">
        <f t="shared" si="87"/>
        <v>0.0008351149118118652</v>
      </c>
      <c r="FD31" s="11">
        <f t="shared" si="88"/>
        <v>0</v>
      </c>
      <c r="FE31" s="11">
        <f t="shared" si="89"/>
        <v>0</v>
      </c>
      <c r="FF31" s="11">
        <f t="shared" si="90"/>
        <v>0.060808810679525094</v>
      </c>
      <c r="FG31" s="11">
        <f t="shared" si="91"/>
        <v>0.28041785034838285</v>
      </c>
      <c r="FH31" s="11">
        <f t="shared" si="92"/>
        <v>0.021869293812900762</v>
      </c>
      <c r="FI31" s="11">
        <f>2*'Plag P-T Results'!AA53/151.9904</f>
        <v>0</v>
      </c>
      <c r="FJ31" s="11">
        <f t="shared" si="131"/>
        <v>1.8781724293874533</v>
      </c>
      <c r="FK31" s="34" t="e">
        <f t="shared" si="132"/>
        <v>#DIV/0!</v>
      </c>
      <c r="FL31" s="11">
        <f t="shared" si="133"/>
        <v>0.5733341538942648</v>
      </c>
      <c r="FM31" s="11">
        <f t="shared" si="93"/>
        <v>0</v>
      </c>
      <c r="FN31" s="11">
        <f t="shared" si="94"/>
        <v>0.23289712494986511</v>
      </c>
      <c r="FO31" s="11">
        <f t="shared" si="95"/>
        <v>0.0004446423016039211</v>
      </c>
      <c r="FP31" s="11">
        <f t="shared" si="96"/>
        <v>0</v>
      </c>
      <c r="FQ31" s="11">
        <f t="shared" si="97"/>
        <v>0</v>
      </c>
      <c r="FR31" s="11">
        <f t="shared" si="98"/>
        <v>0.03237658573199121</v>
      </c>
      <c r="FS31" s="11">
        <f t="shared" si="99"/>
        <v>0.14930357083339693</v>
      </c>
      <c r="FT31" s="11">
        <f t="shared" si="100"/>
        <v>0.011643922288878028</v>
      </c>
      <c r="FU31" s="11">
        <f t="shared" si="101"/>
        <v>0</v>
      </c>
      <c r="FV31" s="11">
        <f t="shared" si="134"/>
        <v>1</v>
      </c>
      <c r="FX31" s="11">
        <f t="shared" si="135"/>
        <v>0.16747311521601874</v>
      </c>
      <c r="FY31" s="11">
        <f t="shared" si="136"/>
        <v>0.7722968174385908</v>
      </c>
      <c r="FZ31" s="11">
        <f t="shared" si="137"/>
        <v>0.060230067345390464</v>
      </c>
      <c r="GA31" s="11">
        <f t="shared" si="138"/>
        <v>1</v>
      </c>
      <c r="GC31" s="11">
        <f t="shared" si="139"/>
        <v>0.30031178447795254</v>
      </c>
      <c r="GD31" s="11">
        <f t="shared" si="140"/>
        <v>425.8245824753117</v>
      </c>
      <c r="GE31" s="11">
        <f t="shared" si="141"/>
        <v>474.8535009632632</v>
      </c>
      <c r="GF31" s="11">
        <f t="shared" si="142"/>
        <v>534.1828461874112</v>
      </c>
      <c r="GG31" s="11">
        <f t="shared" si="143"/>
        <v>590.9959319618952</v>
      </c>
      <c r="GI31" s="11">
        <f t="shared" si="144"/>
        <v>4100.240647066206</v>
      </c>
      <c r="GJ31" s="11">
        <f t="shared" si="102"/>
        <v>119.86428484639185</v>
      </c>
      <c r="GK31" s="11">
        <f t="shared" si="145"/>
        <v>4.910946832024122</v>
      </c>
      <c r="GL31" s="11">
        <f t="shared" si="146"/>
        <v>586.1761292086148</v>
      </c>
      <c r="GN31" s="11">
        <f t="shared" si="0"/>
        <v>700</v>
      </c>
    </row>
    <row r="32" spans="3:49" s="12" customFormat="1" ht="12.75">
      <c r="C32" s="35"/>
      <c r="D32" s="35"/>
      <c r="AD32" s="35"/>
      <c r="AE32" s="35"/>
      <c r="AF32" s="35"/>
      <c r="AW32" s="11"/>
    </row>
    <row r="33" spans="2:11" ht="15.75">
      <c r="B33" s="11"/>
      <c r="E33" s="11"/>
      <c r="F33" s="11"/>
      <c r="G33" s="11"/>
      <c r="H33" s="11"/>
      <c r="I33" s="11"/>
      <c r="J33" s="11"/>
      <c r="K33" s="11"/>
    </row>
    <row r="34" ht="15.75">
      <c r="B34" s="11"/>
    </row>
    <row r="35" ht="15.75">
      <c r="B35" s="11"/>
    </row>
    <row r="36" ht="15.75">
      <c r="B36" s="11"/>
    </row>
    <row r="37" spans="2:31" ht="15.75">
      <c r="B37" s="11"/>
      <c r="AE37"/>
    </row>
    <row r="38" spans="2:31" ht="15.75">
      <c r="B38" s="11"/>
      <c r="AE38"/>
    </row>
    <row r="39" spans="2:31" ht="15.75">
      <c r="B39" s="11"/>
      <c r="AE39"/>
    </row>
    <row r="40" spans="2:31" ht="15.75">
      <c r="B40" s="11"/>
      <c r="AE40"/>
    </row>
    <row r="41" spans="2:31" ht="15.75">
      <c r="B41" s="11"/>
      <c r="AE41"/>
    </row>
    <row r="42" spans="2:31" ht="15.75">
      <c r="B42" s="11"/>
      <c r="AE42"/>
    </row>
    <row r="43" spans="1:31" ht="15.75">
      <c r="A43" s="11"/>
      <c r="B43" s="11"/>
      <c r="E43" s="11"/>
      <c r="F43" s="11"/>
      <c r="G43" s="11"/>
      <c r="H43" s="11"/>
      <c r="I43" s="11"/>
      <c r="J43" s="11"/>
      <c r="K43" s="11"/>
      <c r="AE43"/>
    </row>
    <row r="44" spans="1:31" ht="15.75">
      <c r="A44" s="11"/>
      <c r="B44" s="11"/>
      <c r="E44" s="11"/>
      <c r="F44" s="11"/>
      <c r="G44" s="11"/>
      <c r="H44" s="11"/>
      <c r="I44" s="11"/>
      <c r="J44" s="11"/>
      <c r="K44" s="11"/>
      <c r="AE44"/>
    </row>
    <row r="45" ht="15.75">
      <c r="AE45"/>
    </row>
    <row r="46" ht="15.75">
      <c r="AE46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EES Student Assistant</dc:creator>
  <cp:keywords/>
  <dc:description/>
  <cp:lastModifiedBy>J Alex Speer</cp:lastModifiedBy>
  <dcterms:created xsi:type="dcterms:W3CDTF">2007-06-11T17:28:23Z</dcterms:created>
  <dcterms:modified xsi:type="dcterms:W3CDTF">2018-05-11T16:57:27Z</dcterms:modified>
  <cp:category/>
  <cp:version/>
  <cp:contentType/>
  <cp:contentStatus/>
</cp:coreProperties>
</file>